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Bevételek" sheetId="1" r:id="rId1"/>
    <sheet name="Kiadás" sheetId="2" r:id="rId2"/>
    <sheet name="2.a sz.melléklet " sheetId="3" r:id="rId3"/>
    <sheet name="4.önként" sheetId="4" r:id="rId4"/>
    <sheet name="5állami" sheetId="5" r:id="rId5"/>
    <sheet name="6támog" sheetId="6" r:id="rId6"/>
    <sheet name="felhalm7" sheetId="7" r:id="rId7"/>
    <sheet name="Felújítások" sheetId="8" r:id="rId8"/>
    <sheet name="közv9" sheetId="9" r:id="rId9"/>
    <sheet name="szocpol10" sheetId="10" r:id="rId10"/>
    <sheet name="hitelképesség11" sheetId="11" r:id="rId11"/>
    <sheet name="12Ei. felh. ütemterv" sheetId="12" r:id="rId12"/>
    <sheet name="13több éves" sheetId="13" r:id="rId13"/>
    <sheet name="Mérleg 3 év" sheetId="14" r:id="rId14"/>
    <sheet name="sajátos 15" sheetId="15" r:id="rId15"/>
    <sheet name="létszám" sheetId="16" r:id="rId16"/>
    <sheet name="17 uniós fejl" sheetId="17" r:id="rId17"/>
    <sheet name="Munka1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4._sz._sor_részletezése">#REF!</definedName>
    <definedName name="_xlnm.Print_Titles" localSheetId="2">'2.a sz.melléklet '!$1:$6</definedName>
    <definedName name="_xlnm.Print_Titles" localSheetId="13">'Mérleg 3 év'!$1:$7</definedName>
    <definedName name="_xlnm.Print_Area" localSheetId="11">'12Ei. felh. ütemterv'!$A$1:$Q$52</definedName>
    <definedName name="_xlnm.Print_Area" localSheetId="12">'13több éves'!$A$1:$E$41</definedName>
    <definedName name="_xlnm.Print_Area" localSheetId="2">'2.a sz.melléklet '!$A$1:$I$80</definedName>
    <definedName name="_xlnm.Print_Area" localSheetId="3">'4.önként'!$A$1:$M$19</definedName>
    <definedName name="_xlnm.Print_Area" localSheetId="1">'Kiadás'!$A$1:$K$45</definedName>
  </definedNames>
  <calcPr fullCalcOnLoad="1"/>
</workbook>
</file>

<file path=xl/sharedStrings.xml><?xml version="1.0" encoding="utf-8"?>
<sst xmlns="http://schemas.openxmlformats.org/spreadsheetml/2006/main" count="1022" uniqueCount="756">
  <si>
    <t>Megnevezés</t>
  </si>
  <si>
    <t>Intézményi működési bevételek</t>
  </si>
  <si>
    <t>Önkormányzat sajátos működési bevételei</t>
  </si>
  <si>
    <t>Önkormányzat költségvetési támogatása</t>
  </si>
  <si>
    <t>II.</t>
  </si>
  <si>
    <t>I.</t>
  </si>
  <si>
    <t>1.</t>
  </si>
  <si>
    <t>2.</t>
  </si>
  <si>
    <t>3.</t>
  </si>
  <si>
    <t>Helyi adók</t>
  </si>
  <si>
    <t>Átengedett központi adók</t>
  </si>
  <si>
    <t>Normatív hozzájárulás</t>
  </si>
  <si>
    <t>Központosított előirányzatok</t>
  </si>
  <si>
    <t>Önkormányzatok sajátos felhalmozási és tőkebevételei</t>
  </si>
  <si>
    <t>Pénzügyi befektetések bevételei</t>
  </si>
  <si>
    <t>Felhalmozási célú támogatási kölcsön visszatérülése</t>
  </si>
  <si>
    <t>Normatív kötött felhasználású támogatások</t>
  </si>
  <si>
    <t>5.</t>
  </si>
  <si>
    <t>Hatósági jogkörhöz köthető működési bevételek</t>
  </si>
  <si>
    <t>Egyéb saját bevételek</t>
  </si>
  <si>
    <t>ÁFA bevételek,-visszatérülések</t>
  </si>
  <si>
    <t>Hozam- és kamatbevételek</t>
  </si>
  <si>
    <t>Bírságok és egyéb sajátos bevételek</t>
  </si>
  <si>
    <t>Tárgyi eszközök,immateriális javak értékesítése</t>
  </si>
  <si>
    <t>Működési célú támogatásértékű bevételek</t>
  </si>
  <si>
    <t>Felhalmozási célú támogatásértékű bevételek</t>
  </si>
  <si>
    <t>Kiegészítések, visszatérülések</t>
  </si>
  <si>
    <t>Felhalmozási célú kölcsön igénybevétele</t>
  </si>
  <si>
    <t>Működési célú pénzeszközátvétel Áh-n kívülről</t>
  </si>
  <si>
    <t>Felhalmozási célú pénzeszközátvétel Áh-n kívülről</t>
  </si>
  <si>
    <t>Végleges pénzeszközátvétel államháztartáson kívülről</t>
  </si>
  <si>
    <t>6.</t>
  </si>
  <si>
    <t>7.</t>
  </si>
  <si>
    <t>8.</t>
  </si>
  <si>
    <t>9.</t>
  </si>
  <si>
    <t>Támogatási kölcsönök visszatérülése és igénybevétele</t>
  </si>
  <si>
    <t>10.</t>
  </si>
  <si>
    <t>11.</t>
  </si>
  <si>
    <t>12.</t>
  </si>
  <si>
    <t>13.</t>
  </si>
  <si>
    <t>4.</t>
  </si>
  <si>
    <t>Támogatásértékű bevételek, kiegészítések</t>
  </si>
  <si>
    <t>Felügyeleti szervtől kapott támogatás</t>
  </si>
  <si>
    <t>A</t>
  </si>
  <si>
    <t>Pénzforgalmi költségvetési bevételek (1+…+8)</t>
  </si>
  <si>
    <t>B</t>
  </si>
  <si>
    <t>KÖLTSÉGVETÉSI BEVÉTELEK ÖSSZESEN (A+B)</t>
  </si>
  <si>
    <t>Hitelek</t>
  </si>
  <si>
    <t>Költségvetési szervnek nyújtott támogatás miatti korrekció</t>
  </si>
  <si>
    <t>Kiegyenlítő,függő, átfutó bevételek</t>
  </si>
  <si>
    <t>Önkormányzat összesen</t>
  </si>
  <si>
    <t>ezer Ft-ban</t>
  </si>
  <si>
    <t>Módos.ei.</t>
  </si>
  <si>
    <t>Eredeti ei.</t>
  </si>
  <si>
    <t>Előző évek előirányzat maradványának, pénzmaradványának működési célú igénybevétele</t>
  </si>
  <si>
    <t>Előző évek előirányzat maradványának, pénzmaradványának felhalmozási célú igénybevétele</t>
  </si>
  <si>
    <t>Működési célú bevételek</t>
  </si>
  <si>
    <t xml:space="preserve">  Forgatási célú értékpapírok bevételei</t>
  </si>
  <si>
    <t xml:space="preserve">  Befektetési célú értékpapírok bevételei</t>
  </si>
  <si>
    <t>Felhalmozási célú célú értékpapírok bevételek</t>
  </si>
  <si>
    <t>Kötvények kibocsátásának bevétele</t>
  </si>
  <si>
    <t>Működési célú</t>
  </si>
  <si>
    <t>Felhalmozási célú</t>
  </si>
  <si>
    <t>Működési célú hitel felvétele</t>
  </si>
  <si>
    <t xml:space="preserve">   Rövid lejáratú hitelek felvétele</t>
  </si>
  <si>
    <t xml:space="preserve">   Hosszú lejáratú hitelek felvétele</t>
  </si>
  <si>
    <t>Felhalmozási célú hitel felvétele</t>
  </si>
  <si>
    <t xml:space="preserve">  Rövid lejáratú hitelek felvétele</t>
  </si>
  <si>
    <t xml:space="preserve">  Hosszú lejáratú hitelek felvétele</t>
  </si>
  <si>
    <t>14.</t>
  </si>
  <si>
    <t xml:space="preserve">FINANSZÍROZÁSI BEVÉTELEK ÖSSZESEN (10+11+12) </t>
  </si>
  <si>
    <t>BEVÉTELEK ÖSSZESEN (I.+II.+13+14)</t>
  </si>
  <si>
    <t>Önállóan működő intézmények</t>
  </si>
  <si>
    <t>Abony Város Ökormányzat Polgármesteri Hivatal</t>
  </si>
  <si>
    <t>Abony Város Önkormányzata</t>
  </si>
  <si>
    <t>1.b.sz. melléklet</t>
  </si>
  <si>
    <t>Abony Város Önkormányzatának  2012.évi tervezett kiadásai</t>
  </si>
  <si>
    <t>Abony Város Önállóan működő Intézmények</t>
  </si>
  <si>
    <t xml:space="preserve">Abony Város Önkormányzat Polgármesteri Hivatala </t>
  </si>
  <si>
    <t>Mindösszesen</t>
  </si>
  <si>
    <t>eredeti ei.</t>
  </si>
  <si>
    <t>mód.ei.</t>
  </si>
  <si>
    <t>Működési kiadások</t>
  </si>
  <si>
    <t>a.) személyi juttatások</t>
  </si>
  <si>
    <t>c.) dologi és egyéb folyó kiadások</t>
  </si>
  <si>
    <t>d.) támogatásértékű kiadások</t>
  </si>
  <si>
    <t>e.) előző évi előirányzat-,pénzmaradvány átadás</t>
  </si>
  <si>
    <t>f.) költségvetési szervnek folyósított támogatás</t>
  </si>
  <si>
    <t>g.) végleges pénzeszközátadás Áh-n kívülre</t>
  </si>
  <si>
    <t>h.) társadalom- és szociálpolitikai juttatások</t>
  </si>
  <si>
    <t>i.) ellátottak pénzbeli juttatása</t>
  </si>
  <si>
    <t>Felhalmozási kiadások</t>
  </si>
  <si>
    <t>a.) intézményi beruházások</t>
  </si>
  <si>
    <t xml:space="preserve">b.) önkorm.beruházások </t>
  </si>
  <si>
    <t>c.) pénzügyi befektetések kiadásai</t>
  </si>
  <si>
    <t>e.) végleges pénzeszközátadás Áh-n kívülre</t>
  </si>
  <si>
    <t>f.) kölcsönnyújtás</t>
  </si>
  <si>
    <t>Felújítás</t>
  </si>
  <si>
    <t>a.) intézményi felújítások</t>
  </si>
  <si>
    <t>b.) önkormányzati felújítások</t>
  </si>
  <si>
    <t>Pénzforgalmi költségvetési kiadsáok (1.+2.+3.)</t>
  </si>
  <si>
    <t>b.) felhalmozási</t>
  </si>
  <si>
    <t>Általános tartalék</t>
  </si>
  <si>
    <t>Pénzforgalom nélküli költségvetési kiadások (4.+5.)</t>
  </si>
  <si>
    <t>KÖLTSÉGVETÉSI KIADÁSOK ÖSSZESEN (A+B)</t>
  </si>
  <si>
    <t>Költségvetési hiány, többlet (költségvetési pénzforgalmi bevétel-költségvetési kiadás)</t>
  </si>
  <si>
    <t>Felvett hitelek törlesztése</t>
  </si>
  <si>
    <t xml:space="preserve">    a.) működési</t>
  </si>
  <si>
    <t xml:space="preserve">    b.) felhalmozási</t>
  </si>
  <si>
    <r>
      <t xml:space="preserve">Egyéb kiadások </t>
    </r>
    <r>
      <rPr>
        <sz val="9"/>
        <rFont val="Times New Roman"/>
        <family val="1"/>
      </rPr>
      <t>(éven belüli értékpapír-forgalom)</t>
    </r>
  </si>
  <si>
    <t>FINANSZÍROZÁSI KIADÁSOK ÖSSZESEN (6.+7.)</t>
  </si>
  <si>
    <t>Költsévetési szerveknek nyújtott támogatás miatti korrekció</t>
  </si>
  <si>
    <t>Kiegyenlítő,függő,átfutó kiadások</t>
  </si>
  <si>
    <t>KIADÁSOK ÖSSZESEN (I.+II.+8.+9.)</t>
  </si>
  <si>
    <t>Abony Város Önkormányzat</t>
  </si>
  <si>
    <t xml:space="preserve">  2012. évre tervezett </t>
  </si>
  <si>
    <t>működési, felhalmozási kiadásainak, bevételeinek mérlegszerű bemutatása</t>
  </si>
  <si>
    <t>Eredeti előirányzat</t>
  </si>
  <si>
    <t xml:space="preserve">I. </t>
  </si>
  <si>
    <t>MŰKÖDÉSI BEVÉTELEK ÉS KIADÁSOK</t>
  </si>
  <si>
    <t xml:space="preserve">1. </t>
  </si>
  <si>
    <t xml:space="preserve">2. </t>
  </si>
  <si>
    <t xml:space="preserve">3. </t>
  </si>
  <si>
    <t xml:space="preserve">4. </t>
  </si>
  <si>
    <t>Támogatásértékű bevételek,kiegészítések</t>
  </si>
  <si>
    <t>Támogatási kölcsönök visszatérülése</t>
  </si>
  <si>
    <t>Pénzforgalmi működési célú költségvetési bevételek összesen (1.+..+6.)</t>
  </si>
  <si>
    <t>Működési célú előző évi pénzmaradvány igénybevétele</t>
  </si>
  <si>
    <t>Pénzforgalom nélküli működési bevételek összesen</t>
  </si>
  <si>
    <t>Költségvetési működési bevételek (7.+9.)</t>
  </si>
  <si>
    <t xml:space="preserve">Működési célú hitel </t>
  </si>
  <si>
    <t>Rövidlejáratú éven belüli értékpapírok</t>
  </si>
  <si>
    <t>Finanszírozási működési bevételek összesen (11.+12.)</t>
  </si>
  <si>
    <t>MŰKÖDÉSI BEVÉTELEK ÖSSZESEN (10.+13.)</t>
  </si>
  <si>
    <t>15.</t>
  </si>
  <si>
    <t>Személyi juttatások</t>
  </si>
  <si>
    <t>16.</t>
  </si>
  <si>
    <t>Munkaadókat terhelő járulékok</t>
  </si>
  <si>
    <t>17.</t>
  </si>
  <si>
    <t>Dologi és egyéb folyó kiadások</t>
  </si>
  <si>
    <t>18.</t>
  </si>
  <si>
    <t>Támogatásértékű kiadások</t>
  </si>
  <si>
    <t>19.</t>
  </si>
  <si>
    <t>Előző évi előirányzat-,pénzmaradvány átadás</t>
  </si>
  <si>
    <t>20.</t>
  </si>
  <si>
    <t>Végleges pénzeszközátadás államháztartáson kívülre</t>
  </si>
  <si>
    <t>21.</t>
  </si>
  <si>
    <t>Társadalom- és szociálpolitikai juttatások</t>
  </si>
  <si>
    <t>22.</t>
  </si>
  <si>
    <t>Ellátottak pénzbeli juttatása</t>
  </si>
  <si>
    <t>23.</t>
  </si>
  <si>
    <t>Pénzforgalmi működési célú költségvetési kiadások öszesen (15.+…+22.)</t>
  </si>
  <si>
    <t>24.</t>
  </si>
  <si>
    <t>Tartalékok</t>
  </si>
  <si>
    <t>25.</t>
  </si>
  <si>
    <t>Pénzforgalom nélküli működési kiadások összesen</t>
  </si>
  <si>
    <t>26.</t>
  </si>
  <si>
    <t>Költségvetési működési kiadások (23.+25.)</t>
  </si>
  <si>
    <t>27.</t>
  </si>
  <si>
    <t>Értékpapírok vásárlása (forgatási célú)</t>
  </si>
  <si>
    <t>28.</t>
  </si>
  <si>
    <t>Működési célú hitel visszafizetése</t>
  </si>
  <si>
    <t>29.</t>
  </si>
  <si>
    <t>Finanszírozási működési kiadások összesen(27.+28.)</t>
  </si>
  <si>
    <t>30.</t>
  </si>
  <si>
    <t>MŰKÖDÉSI KIADÁSOK ÖSSZESEN (26.+29.)</t>
  </si>
  <si>
    <t>FELHALMOZÁSI CÉLÚ BEVÉTELEK ÉS KIADÁSOK</t>
  </si>
  <si>
    <t>31.</t>
  </si>
  <si>
    <t>Önkormányzatok felhalmozási és tőke jellegű bevételei</t>
  </si>
  <si>
    <t>32.</t>
  </si>
  <si>
    <t>33.</t>
  </si>
  <si>
    <t>34.</t>
  </si>
  <si>
    <t>35.</t>
  </si>
  <si>
    <t>Pénzforgalmi felhalmozási célú költségvetési bevételek összesen (31.+..+34.)</t>
  </si>
  <si>
    <t>36.</t>
  </si>
  <si>
    <t>Felhalmozási célú előző évi pénzmaradvány</t>
  </si>
  <si>
    <t>37.</t>
  </si>
  <si>
    <t>Pénzforgalom nélküli felhalmozási bevételek összesen</t>
  </si>
  <si>
    <t>38.</t>
  </si>
  <si>
    <t>Költségvetési felhalmozási bevételek (35.+37.)</t>
  </si>
  <si>
    <t>39.</t>
  </si>
  <si>
    <t xml:space="preserve">Felhalmozási célú hitel,kötvénykibocsátás </t>
  </si>
  <si>
    <t>40.</t>
  </si>
  <si>
    <t>Finanszírozási felhalmozási bevételek összesen</t>
  </si>
  <si>
    <t>41.</t>
  </si>
  <si>
    <t>FELHALMOZÁSI BEVÉTELEK ÖSSZESEN (38.+ 40.)</t>
  </si>
  <si>
    <t>42.</t>
  </si>
  <si>
    <t>Felújítási kiadások</t>
  </si>
  <si>
    <t>43.</t>
  </si>
  <si>
    <t>Beruházási kiadások</t>
  </si>
  <si>
    <t>44.</t>
  </si>
  <si>
    <t>Pénzügyi befektetések kiadásai</t>
  </si>
  <si>
    <t>45.</t>
  </si>
  <si>
    <t>46.</t>
  </si>
  <si>
    <t>47.</t>
  </si>
  <si>
    <t>Kölcsönnyújtás</t>
  </si>
  <si>
    <t>48.</t>
  </si>
  <si>
    <t>Pénzforgalmi felhalmozási célú költségvetési kiadások öszesen (42.+…+47.)</t>
  </si>
  <si>
    <t>49.</t>
  </si>
  <si>
    <t>50.</t>
  </si>
  <si>
    <t>Pénzforgalom nélküli felhalmozási kiadások összesen</t>
  </si>
  <si>
    <t>51.</t>
  </si>
  <si>
    <t>Költségvetési felhalmozási kiadások (48.+50.)</t>
  </si>
  <si>
    <t>52.</t>
  </si>
  <si>
    <t>Felhalmozási célú hitel visszafizetése</t>
  </si>
  <si>
    <t>53.</t>
  </si>
  <si>
    <t>Finanszírozási felhalmozási kiadások összesen</t>
  </si>
  <si>
    <t>54.</t>
  </si>
  <si>
    <t>FELHALMOZÁSI KIADÁSOK ÖSSZESEN (51.+53.)</t>
  </si>
  <si>
    <t>55.</t>
  </si>
  <si>
    <t>Költségvetési pénzforgalmi bevételek (7.+35.)</t>
  </si>
  <si>
    <t>56.</t>
  </si>
  <si>
    <t>Költségvetési pénzforgalom nélküli bevételek (9.+37.)</t>
  </si>
  <si>
    <t>57.</t>
  </si>
  <si>
    <t>Finanszírozási bevételek (13.+40.)</t>
  </si>
  <si>
    <t>58.</t>
  </si>
  <si>
    <t>Kiegyenlítő, függő, átfutó bevételek:</t>
  </si>
  <si>
    <t>59.</t>
  </si>
  <si>
    <t>ÖNKORMÁNYZAT BEVÉTELEI ÖSSZESEN (55.+56.+57.+58)</t>
  </si>
  <si>
    <t>60.</t>
  </si>
  <si>
    <t>61.</t>
  </si>
  <si>
    <t>BEVÉTELEK ÖSSZESEN (59.+60)</t>
  </si>
  <si>
    <t>62.</t>
  </si>
  <si>
    <t>Költségvetési pénzforgalmi kiadások (23.+48.)</t>
  </si>
  <si>
    <t>63.</t>
  </si>
  <si>
    <t>Költségvetésipénzforgalom nélküli kiadások (25.+50.)</t>
  </si>
  <si>
    <t>64.</t>
  </si>
  <si>
    <t>Finanszírozási kiadások (29.+53.)</t>
  </si>
  <si>
    <t>65.</t>
  </si>
  <si>
    <t>Kiegyenlítő, függő, átfutó kiadások:</t>
  </si>
  <si>
    <t>66.</t>
  </si>
  <si>
    <t>ÖNKORMÁNYZAT KIADÁSAI ÖSSZESEN (62.+63.+64.+65)</t>
  </si>
  <si>
    <t>KIADÁSOK ÖSSZESEN (66.+67.)</t>
  </si>
  <si>
    <t>4.sz.melléklet</t>
  </si>
  <si>
    <t>2012. Működési költségvetés  -  Önként vállalt feladatkörök</t>
  </si>
  <si>
    <t xml:space="preserve">                       adatok ezer Ft-ban</t>
  </si>
  <si>
    <t>Feladat-mutató</t>
  </si>
  <si>
    <t>2012. évi előirányzat 100%</t>
  </si>
  <si>
    <t>Saját intézményi bevételek</t>
  </si>
  <si>
    <t>Intézményi bevételek fedezete %</t>
  </si>
  <si>
    <t>Állami támogatás + OEP finansz.</t>
  </si>
  <si>
    <t>Állami támogatás fedezete %</t>
  </si>
  <si>
    <t>Átvett pe.</t>
  </si>
  <si>
    <t>Átvett pe.       fedezete %</t>
  </si>
  <si>
    <t>Bevétel/Kiadás mértéke %</t>
  </si>
  <si>
    <t>Önkormányzati hozzájárulás saját bevételből</t>
  </si>
  <si>
    <t>Önkormányzati hozzájárulás fedezete %</t>
  </si>
  <si>
    <t xml:space="preserve">Kinizsi Pál Gimnázium </t>
  </si>
  <si>
    <t>Alapfokú műv.okt. /Gyulai Iskola</t>
  </si>
  <si>
    <t>Alapfokú műv.okt. /Bihari J.Zeneisk.</t>
  </si>
  <si>
    <t xml:space="preserve">Montágh Iskola </t>
  </si>
  <si>
    <t>CTCK társulás Időskorúak Otthona</t>
  </si>
  <si>
    <t>Összesen:</t>
  </si>
  <si>
    <t xml:space="preserve"> Abony Város Önkormányzt 2012. évre </t>
  </si>
  <si>
    <t>tervezett költségvetési támogatásának részletezése</t>
  </si>
  <si>
    <t>Mutatószám (fő)</t>
  </si>
  <si>
    <t>Állami hozzájárulás</t>
  </si>
  <si>
    <t>Körzeti igazgatási feladatok</t>
  </si>
  <si>
    <t xml:space="preserve">Okmányirodák és gyámügyi feladatok </t>
  </si>
  <si>
    <t>Lakott külterülettel kapcsolatos feladatok</t>
  </si>
  <si>
    <t>Építésügyi igazgatási feladatok</t>
  </si>
  <si>
    <t>Lakosságszámhoz kötött normatíva</t>
  </si>
  <si>
    <t>Pénzbeli szociális ellátások</t>
  </si>
  <si>
    <t>Bölcsödei ellátás</t>
  </si>
  <si>
    <t>Szociális jogcímek</t>
  </si>
  <si>
    <t>Óvodai ellátás</t>
  </si>
  <si>
    <t>Általános iskolai oktatás</t>
  </si>
  <si>
    <t>Középfokú oktatás</t>
  </si>
  <si>
    <t>Alapfokú művészeti oktatás</t>
  </si>
  <si>
    <t>Napköziotthonos foglalkozás</t>
  </si>
  <si>
    <t>SNI tanulók ellátása</t>
  </si>
  <si>
    <t>Nem magyar nyelven folyó oktatás támogatása</t>
  </si>
  <si>
    <t>Középszintű érettségi vizsga</t>
  </si>
  <si>
    <t>Pedagógiai szakszolgálat</t>
  </si>
  <si>
    <t>Pedagógiai továbbképzés támogatása</t>
  </si>
  <si>
    <t>Pedagógiai pótlékokhoz hozzájárulás</t>
  </si>
  <si>
    <t>Kedvezményes étkeztetés</t>
  </si>
  <si>
    <t>Tanulók ingyenes tankönyvellátása</t>
  </si>
  <si>
    <t>Tanügyigazgatási feladatok</t>
  </si>
  <si>
    <t>Közoktatási jogcímek</t>
  </si>
  <si>
    <t>ÖNKORM.KÖLTSÉGVETÉSI TÁMOGATÁSA                ÖSSZESEN (1.1+1.2.+1.3.+1.4.)</t>
  </si>
  <si>
    <t>Abony Város Önkormányzat 2012. évi</t>
  </si>
  <si>
    <t xml:space="preserve"> támogatásértékű bevételeinek </t>
  </si>
  <si>
    <t>részletezése</t>
  </si>
  <si>
    <t>adatok ezer Ft-ban</t>
  </si>
  <si>
    <t>Abony Város Önkorányzat Polgármesteri Hivatal</t>
  </si>
  <si>
    <t>Támogatásértékű működési bevétel központi költségvetési szervtől</t>
  </si>
  <si>
    <t>Támogatásértékű működési bevétel fejezeti kezelésű ei-tól</t>
  </si>
  <si>
    <t>Támogatásértékű működési bevétel társadalombiztosítási alaptól</t>
  </si>
  <si>
    <t xml:space="preserve">           OEP finanszírozás</t>
  </si>
  <si>
    <t>Támogatásértékű működési bevétel egyéb vállalkozástól</t>
  </si>
  <si>
    <t>Támogatásértékű működési bevétel helyi önkormányzattól és költségvetési szerveitől</t>
  </si>
  <si>
    <t xml:space="preserve">           idegenforgalmi adó</t>
  </si>
  <si>
    <t xml:space="preserve">           Társulástól </t>
  </si>
  <si>
    <t xml:space="preserve"> </t>
  </si>
  <si>
    <t>Támogatásértékű működési bevétel többcélú kistérségi társulástól</t>
  </si>
  <si>
    <t>Garancia-és kezességvállalásból származó visszatérülések</t>
  </si>
  <si>
    <t>Szervezett képzés támogatása</t>
  </si>
  <si>
    <t>Támogatásértékű működési bevételek összesen:</t>
  </si>
  <si>
    <t>Támogatásértékű felhalmozási bevétel központi költségvetési szervtől</t>
  </si>
  <si>
    <t>Támogatásértékű felhalmozási bevétel fejezeti kezelésű ei-tól</t>
  </si>
  <si>
    <t>Támogatásértékű felhalmozási bevétel háztartásoktól</t>
  </si>
  <si>
    <t>Támogatásértékű felhalmozási bevétel egyéb vállalkozástól</t>
  </si>
  <si>
    <t>Támogatásértékű felhalmozási bevétel helyi önkormányzattól és költségvetési szerveitől</t>
  </si>
  <si>
    <t xml:space="preserve">           Társulástól</t>
  </si>
  <si>
    <t>Támogatásértékű felhalmozási bevétel többcélú kistérségi társulástól</t>
  </si>
  <si>
    <t>Támogatásértékű felhalmozási bevételek összesen</t>
  </si>
  <si>
    <t>Előző évi központi költségvetési kiegészítések,visszatérülések</t>
  </si>
  <si>
    <t>Előző évi egyéb költségvetési kiegészítések,visszatérülések</t>
  </si>
  <si>
    <t>Előző évi előirányzat-maradvány,pénzmaradvány átvétel</t>
  </si>
  <si>
    <t>Kiegészítések, visszatérülések összesen:</t>
  </si>
  <si>
    <t>TÁMOGATÁSÉRTÉKŰ BEVÉTELEK, KIEGÉSZÍTÉSEK ÖSSZESEN (1.+2.+3.)</t>
  </si>
  <si>
    <t>7. sz. melléklet</t>
  </si>
  <si>
    <t>ABONY VÁROS ÖNKORMÁNYZAT</t>
  </si>
  <si>
    <t>FELHALMOZÁSI KIADÁSAI</t>
  </si>
  <si>
    <t>2012.</t>
  </si>
  <si>
    <t>MEGNEVEZÉS</t>
  </si>
  <si>
    <t>Módosított Előirányzat</t>
  </si>
  <si>
    <t>Forrása</t>
  </si>
  <si>
    <t xml:space="preserve"> Hitel</t>
  </si>
  <si>
    <t>Kötvény kibocsátás</t>
  </si>
  <si>
    <t>Saját erő</t>
  </si>
  <si>
    <t>Közösségi Ház- Könyvtár- Zeneiskola építése + Főtér II.</t>
  </si>
  <si>
    <t>Coop ingatlan vásárlás</t>
  </si>
  <si>
    <t>kártalanítás B öblözet</t>
  </si>
  <si>
    <t>Közvilágítás bővítés</t>
  </si>
  <si>
    <t>Salgóbányai tábor vizesblokk felújítás</t>
  </si>
  <si>
    <t>OTP telek  kiváltás</t>
  </si>
  <si>
    <t>Északkeleti városrész csap.víz elv.KMOP-3.3.1/B-10-2010-0037 II.rehab</t>
  </si>
  <si>
    <t>Polgármesteri Hivatal akadálymentesítése</t>
  </si>
  <si>
    <t xml:space="preserve">Telek vásárlás ÉK csapadékvíz elvezetés </t>
  </si>
  <si>
    <t>Semmelweis úti ingatlan kisajátítások és telek rendezések</t>
  </si>
  <si>
    <t>Pálinkás Világításkorszerűsítés</t>
  </si>
  <si>
    <t>Somogyi Imre Általános Iskola Abonyi Lajos úti étkező kialakítása</t>
  </si>
  <si>
    <t>Beruházási kiadások összesen</t>
  </si>
  <si>
    <t>Pénzügyi befektetések kiadásai összesen</t>
  </si>
  <si>
    <t>Felhalmozási c.pénzeszközátadás államháztartáson kívűlre</t>
  </si>
  <si>
    <t>Felhalm.c.pe.átad.államháztartáson kivűlre össz.</t>
  </si>
  <si>
    <t>Felhalmozási célú támogatásértékű kiadások</t>
  </si>
  <si>
    <t>Felhalmozási célú támogatásértékű kiad.össz.</t>
  </si>
  <si>
    <t>Kölcsönnyújtás (Tartósan adott kölcsön)</t>
  </si>
  <si>
    <t>Kölcsönnyújtás összesen:</t>
  </si>
  <si>
    <t>Mindösszesen: (1.+2.+3.+4.+5.)</t>
  </si>
  <si>
    <t>8.sz.melléklet</t>
  </si>
  <si>
    <t xml:space="preserve">Abony Város Önkormányzatának </t>
  </si>
  <si>
    <t>felújítási kiadásai</t>
  </si>
  <si>
    <t>2012. év</t>
  </si>
  <si>
    <t>adatok eFt-ban</t>
  </si>
  <si>
    <t xml:space="preserve">2012.évi </t>
  </si>
  <si>
    <t xml:space="preserve">Módosított </t>
  </si>
  <si>
    <t>előirányzat</t>
  </si>
  <si>
    <t>OTP Hitel</t>
  </si>
  <si>
    <t>Egyéb</t>
  </si>
  <si>
    <t>Kötelezettségek összesen:</t>
  </si>
  <si>
    <t>Felújítási kiadások mindösszesen:</t>
  </si>
  <si>
    <t>adatok e Ft-ban</t>
  </si>
  <si>
    <t>I. Rendszeres pénzbeni ellátások</t>
  </si>
  <si>
    <t>Tervezett létszám</t>
  </si>
  <si>
    <t>Tervezett támogatás</t>
  </si>
  <si>
    <t>2012. TERV Önerő</t>
  </si>
  <si>
    <t>Aktív korúak ellátása</t>
  </si>
  <si>
    <t>Rendelkezésre állási támogatás</t>
  </si>
  <si>
    <t>Rendszeres szociális segély (egészségkárosodott )</t>
  </si>
  <si>
    <t>Rendszeres szociális segély (55 év felett)</t>
  </si>
  <si>
    <t>Ápolási díj normatív</t>
  </si>
  <si>
    <t>Ápolási díj fokozott ápolás emelt összegű</t>
  </si>
  <si>
    <t>Időskorúak járadéka</t>
  </si>
  <si>
    <t>Lakásfenntartási támogatás (normatív)</t>
  </si>
  <si>
    <t>Lakásfenntartási támogatás (méltányos)</t>
  </si>
  <si>
    <t>Összesen: (TB járulék nélkül)</t>
  </si>
  <si>
    <t>II. Eseti pénzbeni ellátások</t>
  </si>
  <si>
    <t>Köztemetés</t>
  </si>
  <si>
    <t>Közgyógyellátás</t>
  </si>
  <si>
    <t>Bursa Hungarca</t>
  </si>
  <si>
    <t>Rendkívüli gyermekvédelmi tám.</t>
  </si>
  <si>
    <t>Temetési segély</t>
  </si>
  <si>
    <t>Szociális kölcsön</t>
  </si>
  <si>
    <t>Összesen</t>
  </si>
  <si>
    <t>Mindösszesen: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</si>
  <si>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</si>
  <si>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</si>
  <si>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</si>
  <si>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</si>
  <si>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</si>
  <si>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</si>
  <si>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</si>
  <si>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</si>
  <si>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</si>
  <si>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r>
      <t>…………..-ból biztosított kedvezmény, mentesség</t>
    </r>
    <r>
      <rPr>
        <sz val="8"/>
        <rFont val="Times New Roman"/>
        <family val="1"/>
      </rPr>
      <t>*</t>
    </r>
  </si>
  <si>
    <t>…………..-ból biztosított kedvezmény, mentesség*</t>
  </si>
  <si>
    <t>Gépjárműadóból biztosított kedvezmény, mentesség</t>
  </si>
  <si>
    <t>Helyiségek hasznosítása utáni  menteség (Sportcsarnok)</t>
  </si>
  <si>
    <t>Helyiségek hasznosítása utáni  menteség (Polgárőrség)</t>
  </si>
  <si>
    <t>Eszközök hasznosítása utáni kedvezmény, menteség</t>
  </si>
  <si>
    <t>Egyéb kedvezmény (70 éven felüliek 50%-os szemétszállítás )</t>
  </si>
  <si>
    <t>Egyéb kölcsön elengedése</t>
  </si>
  <si>
    <t>*</t>
  </si>
  <si>
    <t>A helyi adókból biztosított kedvezményeket, mentességeket, adónemenként kell feltüntetni.</t>
  </si>
  <si>
    <t>11. sz. melléklet</t>
  </si>
  <si>
    <t xml:space="preserve"> Megnevezés</t>
  </si>
  <si>
    <t>Gépjárműadó</t>
  </si>
  <si>
    <t>Egyéb sajátos bevételek</t>
  </si>
  <si>
    <t>Váltótartozások</t>
  </si>
  <si>
    <t>Kimutatás a 2012. évi várható bevételi előirányzatainak teljesüléséről</t>
  </si>
  <si>
    <t xml:space="preserve">Előirányzat-felhasználási ütemterv </t>
  </si>
  <si>
    <t>Bevételek</t>
  </si>
  <si>
    <t>2012. 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</si>
  <si>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</si>
  <si>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</si>
  <si>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</si>
  <si>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</si>
  <si>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</si>
  <si>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</si>
  <si>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</si>
  <si>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</si>
  <si>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</si>
  <si>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</si>
  <si>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</si>
  <si>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</si>
  <si>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Intézményi bevételek</t>
  </si>
  <si>
    <t>Önk-i sajátos műk.bev.</t>
  </si>
  <si>
    <t>Bírságok, pótlékok, egyéb bevételek</t>
  </si>
  <si>
    <t>Helyi adóbevételek</t>
  </si>
  <si>
    <t>Önkormányzatok költségvetési támogatása</t>
  </si>
  <si>
    <t>Normatív támogatás</t>
  </si>
  <si>
    <t>Normatív kötött felhasználású tám.</t>
  </si>
  <si>
    <t>Működési célú pénzeszköz átvétel</t>
  </si>
  <si>
    <t>Támogatásértékű bevételek</t>
  </si>
  <si>
    <t>TB-tól átvett pénzeszk.</t>
  </si>
  <si>
    <t>Működési bevételek (1.-5.)</t>
  </si>
  <si>
    <t>Felhalmozási és tőke jellegű bevételek</t>
  </si>
  <si>
    <t>Pénzügyi bef. Bevétele</t>
  </si>
  <si>
    <t>Tárgyi eszk. és immat. javak értékesítés</t>
  </si>
  <si>
    <t>Önk. sajátos felhalm. bevételei</t>
  </si>
  <si>
    <t>felhalmozási célú pénzeszközátvétel</t>
  </si>
  <si>
    <t>Kölcsönök visszatérülése</t>
  </si>
  <si>
    <t>Pénzmaradvány</t>
  </si>
  <si>
    <t>Felhalmozási bevételek      (7.-12.)</t>
  </si>
  <si>
    <t>Összes bevétel (6.+13.)</t>
  </si>
  <si>
    <t>Előirányzat-felhasználási és ütemterv</t>
  </si>
  <si>
    <t>Kiadások</t>
  </si>
  <si>
    <t>Személyi juttatás</t>
  </si>
  <si>
    <t>Járulékok</t>
  </si>
  <si>
    <t>Dologi kiadás</t>
  </si>
  <si>
    <t>Működési célú pénzeszk.átadás, támog.</t>
  </si>
  <si>
    <t>Végleges pénzeszközátadás Áh-n kívülre</t>
  </si>
  <si>
    <t>Tartalék</t>
  </si>
  <si>
    <t>Működési kiadások           (16.-23.)</t>
  </si>
  <si>
    <t>Beruházás</t>
  </si>
  <si>
    <t>Támogatási kölcsön nyújtása</t>
  </si>
  <si>
    <t>Hitel visszafizetés. Lízingdíjak</t>
  </si>
  <si>
    <t>Felhalm. kiadások összesen (25.-29.)</t>
  </si>
  <si>
    <t>Kiadások összesen (24+30)</t>
  </si>
  <si>
    <t xml:space="preserve"> Abony Városi Önkormányzat</t>
  </si>
  <si>
    <t>Hitelek törlesztése 2012. év    Terv                                                                            adatok e ft-ban</t>
  </si>
  <si>
    <t>2011.</t>
  </si>
  <si>
    <t>Fejlesztési hitel törlesztés (Ford Tranzit gépk.)</t>
  </si>
  <si>
    <t>Fejlesztési hitel törlesztés (ÖKIF)</t>
  </si>
  <si>
    <t>Volksbank (csatorna beruházás hitele)</t>
  </si>
  <si>
    <t>Kimutatás a több éves kihatással  járó kötelezettségekről</t>
  </si>
  <si>
    <t>Szerződő partner</t>
  </si>
  <si>
    <t>Tárgy</t>
  </si>
  <si>
    <t>összeg (ezer Ft-ban)</t>
  </si>
  <si>
    <t>Érvényesség</t>
  </si>
  <si>
    <t>2012. előtti kifizetés (ezer ft-ban)</t>
  </si>
  <si>
    <t>ÖKIF hitel (0648/3 cél)</t>
  </si>
  <si>
    <t>Intézmények, strand felújítás</t>
  </si>
  <si>
    <t>ÖKIF hitel (0648/2 cél)</t>
  </si>
  <si>
    <t>Belterületi utak+Idősek Napközi O.</t>
  </si>
  <si>
    <t>Lombard lízing</t>
  </si>
  <si>
    <t>Ford Tranzit gépk.</t>
  </si>
  <si>
    <t>Raiffeisen Bank Zrt.</t>
  </si>
  <si>
    <t>Abonyi Két Torony Kötvény</t>
  </si>
  <si>
    <t>Világitáskorszerűsítés</t>
  </si>
  <si>
    <t>2015.09.31</t>
  </si>
  <si>
    <t>adatok Ft-ban</t>
  </si>
  <si>
    <t>Szilasi és Társa Kft.</t>
  </si>
  <si>
    <t>Városi Sportcsarnok felújításának garanciális biztosítéka</t>
  </si>
  <si>
    <t>Abokom Kht.</t>
  </si>
  <si>
    <t>Öregek N.Otthonának felújítása garanciális biztosítéka</t>
  </si>
  <si>
    <t>Generál-Kontakt Építőipari Műszaki Szolg.Bt.</t>
  </si>
  <si>
    <t>Sívó Kúria jóteljesítési garancia</t>
  </si>
  <si>
    <t xml:space="preserve">Sebők&amp;Sebők Zrt. </t>
  </si>
  <si>
    <t>Ollé műfüves pálya jóteljesítési garancia</t>
  </si>
  <si>
    <t>Sun-Day Kft.</t>
  </si>
  <si>
    <t xml:space="preserve">Duna Aszfalt </t>
  </si>
  <si>
    <t>belterületi utak  jóteljesítési garancia</t>
  </si>
  <si>
    <t xml:space="preserve">Tolnátó Építőipari Szövetkezet </t>
  </si>
  <si>
    <t>Ungár Kúria felújítás jóteljesítési garancia</t>
  </si>
  <si>
    <t>2013.</t>
  </si>
  <si>
    <t>Béker Soft</t>
  </si>
  <si>
    <t>Informatikai eszközök beszerzése pályázat</t>
  </si>
  <si>
    <t>2011. év</t>
  </si>
  <si>
    <t>2013. év</t>
  </si>
  <si>
    <t>2013. év után</t>
  </si>
  <si>
    <t>ÖKIF hitel (0648/3 cél) (Int.+strand felúj.)</t>
  </si>
  <si>
    <t>ÖKIF hitel (0648/2 cél) (Bel.ter.utak+I.Napk.O.)</t>
  </si>
  <si>
    <t>Lombard lízing (Ford Tranzit gépk.)</t>
  </si>
  <si>
    <t>Raiffeisen Bank (Abonyi Két Torony Kötvény)</t>
  </si>
  <si>
    <t>Raiffeisen Bank (Világításkorszerűsítés)</t>
  </si>
  <si>
    <t>Szilasi és Társa Kft.(Városi Sportcs.felúj.garanc.bizt.)</t>
  </si>
  <si>
    <t>Abokom Kht. (Öregek N.Otthonának gar.bizt.)</t>
  </si>
  <si>
    <t>Generál-Kontakt Építőipari Műszaki Szolg.Bt.(Sívó K.)</t>
  </si>
  <si>
    <t>Sebők&amp;Sebők Zrt.(Ollé műfüves P.)</t>
  </si>
  <si>
    <t>Sun-Day Kft. (Ollé Műfüves P.)</t>
  </si>
  <si>
    <t>Duna Aszfalt (belterületi utak)</t>
  </si>
  <si>
    <t>Tolnátó Építőipari Szövetkezet (Ungár K.)</t>
  </si>
  <si>
    <t>Béker Soft Inform.eszk. Beszerz.</t>
  </si>
  <si>
    <t>14. sz.melléklet</t>
  </si>
  <si>
    <t>A működési és fejlesztési célú bevételek és kiadások</t>
  </si>
  <si>
    <t>2012-2013-2014. évi alakulását külön bemutató mérleg</t>
  </si>
  <si>
    <t>Sor   szám</t>
  </si>
  <si>
    <t>2012.évre</t>
  </si>
  <si>
    <t>I. Működési bevételek és kiadások</t>
  </si>
  <si>
    <t>Intézményi működési bevételek (levonva a felhalmozási áfa</t>
  </si>
  <si>
    <t>01</t>
  </si>
  <si>
    <t>visszatérülések, értékesített tárgyi eszközök és immateriális javak áfa-ja)</t>
  </si>
  <si>
    <t>Önkormányzatok sajátos működési bevételei</t>
  </si>
  <si>
    <t>02</t>
  </si>
  <si>
    <t>03</t>
  </si>
  <si>
    <t>04</t>
  </si>
  <si>
    <t>Végleges pénzeszközátvétel Áh-n kívülről</t>
  </si>
  <si>
    <t>05</t>
  </si>
  <si>
    <t>Működési célú kölcsönök visszatérülése, igénybevétele</t>
  </si>
  <si>
    <t>06</t>
  </si>
  <si>
    <t>07</t>
  </si>
  <si>
    <t>08</t>
  </si>
  <si>
    <t>09</t>
  </si>
  <si>
    <t>10</t>
  </si>
  <si>
    <t>Rövid lejáratú hitelek</t>
  </si>
  <si>
    <t>11</t>
  </si>
  <si>
    <t>Rövid lejáratú értékpapírok értékesítése, kibocsátása</t>
  </si>
  <si>
    <t>12</t>
  </si>
  <si>
    <t>13</t>
  </si>
  <si>
    <t>Működési célú bevételek összesen (10.+13.)</t>
  </si>
  <si>
    <t>15</t>
  </si>
  <si>
    <t>16</t>
  </si>
  <si>
    <t>Dologi kiadások és egyéb folyó kiadások (levonva az értékesített tárgyi</t>
  </si>
  <si>
    <t>17</t>
  </si>
  <si>
    <t>eszközök, immateriális javak utáni áfa befizetés és kamatfizetés)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</si>
  <si>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</si>
  <si>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</si>
  <si>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</si>
  <si>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</si>
  <si>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</si>
  <si>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</si>
  <si>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</si>
  <si>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</si>
  <si>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</si>
  <si>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Rövid lejáratú hitel visszafizetése</t>
  </si>
  <si>
    <t>27</t>
  </si>
  <si>
    <t>Rövid lejáratú hitel kamata</t>
  </si>
  <si>
    <t>28</t>
  </si>
  <si>
    <t>Rövid lejáratú értékpapírok beváltása, vásárlása</t>
  </si>
  <si>
    <t>29</t>
  </si>
  <si>
    <t>Finanszírozási működési kiadások összesen(27.+..29.)</t>
  </si>
  <si>
    <t>30</t>
  </si>
  <si>
    <t>Működési célú kiadások összesen (26.+30.)</t>
  </si>
  <si>
    <t>31</t>
  </si>
  <si>
    <t>II. Felhalmozási célú bevételek és kiadások</t>
  </si>
  <si>
    <t>32</t>
  </si>
  <si>
    <t>Fejlesztési célú támogatások</t>
  </si>
  <si>
    <t>33</t>
  </si>
  <si>
    <t>34</t>
  </si>
  <si>
    <t>35</t>
  </si>
  <si>
    <t>Felhalmozási áfa visszatérülése</t>
  </si>
  <si>
    <t>36</t>
  </si>
  <si>
    <t>Értékesített tárgyi eszköz és immateriális javak áfa-ja</t>
  </si>
  <si>
    <t>37</t>
  </si>
  <si>
    <t>Felhalmozási célú kölcsönök visszatérülése, igénybevétele</t>
  </si>
  <si>
    <t>38</t>
  </si>
  <si>
    <t>Pénzforgalmi felhalmozási célú költségvetési bevételek összesen (32.+..+38.)</t>
  </si>
  <si>
    <t>39</t>
  </si>
  <si>
    <t>Felhalmozási célú előző évi pénzmaradvány igénybevétele</t>
  </si>
  <si>
    <t>40</t>
  </si>
  <si>
    <t>41</t>
  </si>
  <si>
    <t>Költségvetési felhalmozási bevételek (39.+41.)</t>
  </si>
  <si>
    <t>42</t>
  </si>
  <si>
    <t>Hosszú lejáratú hitel, kötvénykibocsátás</t>
  </si>
  <si>
    <t>43</t>
  </si>
  <si>
    <t>44</t>
  </si>
  <si>
    <t>Felhalmozási célú bevételek (42.+44.)</t>
  </si>
  <si>
    <t>45</t>
  </si>
  <si>
    <t>Felhalmozási kiadások (áfa-val együtt)</t>
  </si>
  <si>
    <t>46</t>
  </si>
  <si>
    <t>Felújítási kiadások (áfa-val együtt)</t>
  </si>
  <si>
    <t>47</t>
  </si>
  <si>
    <t>Értékesített tárgyi eszközök, immateriális javak utáni áfa befizetés</t>
  </si>
  <si>
    <t>48</t>
  </si>
  <si>
    <t>Pénzügyi befektetések</t>
  </si>
  <si>
    <t>49</t>
  </si>
  <si>
    <t>50</t>
  </si>
  <si>
    <t>51</t>
  </si>
  <si>
    <t>Felhalmozási célú kölcsönök nyújtása és törlesztése</t>
  </si>
  <si>
    <t>52</t>
  </si>
  <si>
    <t>Pénzforgalmi felhalmozási célú költségvetési kiadások öszesen (46.+…+52.)</t>
  </si>
  <si>
    <t>53</t>
  </si>
  <si>
    <t>Céltartalék</t>
  </si>
  <si>
    <t>54</t>
  </si>
  <si>
    <t>55</t>
  </si>
  <si>
    <t>Költségvetési felhalmozási kiadások (53.+55.)</t>
  </si>
  <si>
    <t>56</t>
  </si>
  <si>
    <t>Hosszú lejáratú hitel visszafizetése</t>
  </si>
  <si>
    <t>57</t>
  </si>
  <si>
    <t>Hosszú lejáratú hitel kamata</t>
  </si>
  <si>
    <t>58</t>
  </si>
  <si>
    <t>59</t>
  </si>
  <si>
    <t>Felhalmozási célú kiadások összesen (56.+59.)</t>
  </si>
  <si>
    <t>60</t>
  </si>
  <si>
    <t>Költségvetési pénzforgalmi bevételek (7.+39.)</t>
  </si>
  <si>
    <t>Költségvetési pénzforgalom nélküli bevételek (9.+41.)</t>
  </si>
  <si>
    <t>Finanszírozási bevételek (13.+44.)</t>
  </si>
  <si>
    <t>ÖNKORMÁNYZAT BEVÉTELEI ÖSSZESEN (61.+62.+63.)</t>
  </si>
  <si>
    <t>Költségvetési pénzforgalmi kiadások (23.+53.)</t>
  </si>
  <si>
    <t>Költségvetésipénzforgalom nélküli kiadások (25.+55.)</t>
  </si>
  <si>
    <t>Finanszírozási kiadások (30.+59.)</t>
  </si>
  <si>
    <t>ÖNKORMÁNYZAT KIADÁSAI ÖSSZESEN (65.+66.+67.)</t>
  </si>
  <si>
    <t>15.1 melléklet</t>
  </si>
  <si>
    <t>Abony Város Önkormányzat 2012. évre tervezett intézményi és sajátos működési bevételeinek részletezése</t>
  </si>
  <si>
    <t>Abony Város Önkorányzat Polgármesteri Hivatala</t>
  </si>
  <si>
    <t>Abony Város Önkormányza</t>
  </si>
  <si>
    <t>Igazgatási szolgáltatási díj</t>
  </si>
  <si>
    <t>Felügyelet jellegű tevékenység díja</t>
  </si>
  <si>
    <t>Bírság bevétele</t>
  </si>
  <si>
    <t xml:space="preserve"> 1.1</t>
  </si>
  <si>
    <t>Hatósági jogkörhöz köthető működési bev.össz.</t>
  </si>
  <si>
    <t>Áru- és készletértékesítés ellenértéke</t>
  </si>
  <si>
    <t>Szolgáltatások ellenértéke</t>
  </si>
  <si>
    <t>Egyéb sajátos bevétel</t>
  </si>
  <si>
    <t>Továbbszámlázott szolgáltatások ellenértéke</t>
  </si>
  <si>
    <t>Bérleti és lízingdíj bevételek</t>
  </si>
  <si>
    <t>Intézményi ellátási díjak</t>
  </si>
  <si>
    <t>Alkalmazottak térítése</t>
  </si>
  <si>
    <t>Kötbér,egyéb kártérítés,bánatpénz bevétele</t>
  </si>
  <si>
    <t>Alkalmazott,tanuló kártérítése és egyéb térítés</t>
  </si>
  <si>
    <t xml:space="preserve"> 1.2 </t>
  </si>
  <si>
    <t>Egyéb saját bevétel</t>
  </si>
  <si>
    <t>Működési kiadásokhoz kapcsolódó ÁFA visszatérülés</t>
  </si>
  <si>
    <t>Felhalmozási kiadásokhoz kapcs.ÁFA visszatérülés</t>
  </si>
  <si>
    <t>Kiszámlázott termékek és szolgáltatások ÁFA-ja</t>
  </si>
  <si>
    <t>Értékesített tárgyi eszközök, immateriális javak ÁFA-ja</t>
  </si>
  <si>
    <t xml:space="preserve"> 1.3</t>
  </si>
  <si>
    <t>ÁFA bevételek,-visszatérülések összesen</t>
  </si>
  <si>
    <t>Államháztartáson kív.szárm.befektetett pü.eszk.kamata</t>
  </si>
  <si>
    <t>Egyéb államháztartáson kívülről származó kamat</t>
  </si>
  <si>
    <t>Kamatbevételek államháztartáson belülről</t>
  </si>
  <si>
    <t xml:space="preserve"> 1.4</t>
  </si>
  <si>
    <t>Hozam- és kamatbevételek összesen</t>
  </si>
  <si>
    <t>INTÉZMÉNYI MŰKÖDÉSI BEV.ÖSSZESEN (1.1+1.2+1.3+1.4)</t>
  </si>
  <si>
    <t>Építményadó</t>
  </si>
  <si>
    <t>Magánszemélyek kommunális adója</t>
  </si>
  <si>
    <t>Iparűzési adó</t>
  </si>
  <si>
    <t xml:space="preserve"> 2.1</t>
  </si>
  <si>
    <t>Helyi adók összesen</t>
  </si>
  <si>
    <t>Luxusadó</t>
  </si>
  <si>
    <t>Személyi jövedelemadó helyben maradó része</t>
  </si>
  <si>
    <t>SZJA kiegészítés /jöv.különbség mérs./</t>
  </si>
  <si>
    <t>Termőföld bérbeadásából származó jövedelem</t>
  </si>
  <si>
    <t xml:space="preserve"> 2.2</t>
  </si>
  <si>
    <t>Pótlékok, bírságok</t>
  </si>
  <si>
    <t>Környezetvédelmi, építésügyi bírság</t>
  </si>
  <si>
    <t xml:space="preserve"> 2.3</t>
  </si>
  <si>
    <t>Bírságok és egyéb sajátos bev.össz.</t>
  </si>
  <si>
    <t>ÖNKORMÁNYZAT SAJÁTOS MŰK.BEV.                 ÖSSZESEN (2.1+2.2+2.3)</t>
  </si>
  <si>
    <t>Kimutatás a 2012. évi várható kiadási előirányzatainak teljesüléséről</t>
  </si>
  <si>
    <t>Saját bevételeinek és a Stabilitási tv. 3§(1) bekezdése szerinti adósságot keletkeztető ügyleteiből eredő fizetési kötelezettségeinek a költségvetési évet követő három évre várható összegéről</t>
  </si>
  <si>
    <t>Hitelek kölcsönök felvétele átvállalása összesen</t>
  </si>
  <si>
    <t xml:space="preserve">   ÖKIF hitel</t>
  </si>
  <si>
    <t xml:space="preserve">   Raiffeisen Bank Pálinkás világításkorszerűsítés</t>
  </si>
  <si>
    <t>Pénzügyi Lízing</t>
  </si>
  <si>
    <t xml:space="preserve">Visszavásárlási kötelezettség kikötésével eladói félként megkötött adásvételi szerződések </t>
  </si>
  <si>
    <t>Szerződésben rögzített legalább 365 nap időtartamú halasztott fizetés, részletfizetés még ki nem fizetett ellenérték</t>
  </si>
  <si>
    <t>Külföldi hitelintézetek által , származékos műveletek különbözeteként az ÁKK Zrt-né elhelyezett fedezeti betétek összesen</t>
  </si>
  <si>
    <t>Kezességvállalások</t>
  </si>
  <si>
    <t>Kötelezetségvállalások összesen</t>
  </si>
  <si>
    <t>Hitelviszonyt megtestesítő értékpapírok összesen (255,91 CHF)</t>
  </si>
  <si>
    <t>Önkormányzati vagyon és vagyoni érékű jog értékesítéséből és hasznosításából származó bevétel</t>
  </si>
  <si>
    <t>Osztalék, koncessziós díj és hozambevétel</t>
  </si>
  <si>
    <t>Tárgyi eszköz és immateriális jószág , részvény,részesedés , vállalat értékesítéséből vagy privatizációból szárm. Bevéel</t>
  </si>
  <si>
    <t>Bírság , pótlék és díjbevétel</t>
  </si>
  <si>
    <t>Kezességvállalással kapcsolatos megtérülés</t>
  </si>
  <si>
    <t>Saját bevételek összesen (10-15)</t>
  </si>
  <si>
    <t>Saját bevételek 50 %-a</t>
  </si>
  <si>
    <t>Abony Város Önkormányzatának 2012. évre tervezett bevételei</t>
  </si>
  <si>
    <t>Abony Város Önkormányzat létszám állománya 2012. év</t>
  </si>
  <si>
    <t>16. számú melléklet</t>
  </si>
  <si>
    <t>Sorszám</t>
  </si>
  <si>
    <t>Intézmények</t>
  </si>
  <si>
    <t>Létszám /fő/</t>
  </si>
  <si>
    <t>Önkormányzatok és többcélú kist.társ.igazg.tev. /Polgármesteri Hivatal/</t>
  </si>
  <si>
    <t>15 fő megváltozott munkaképességű</t>
  </si>
  <si>
    <t>Önkormányzatok és többcélú kist.társ.igazg.tev. /Okmányiroda/</t>
  </si>
  <si>
    <t>Ifjúság-egészségügyi gondozás /Iskola Egészségügy/</t>
  </si>
  <si>
    <t>Család- és nővédelmi egészségügyi gondozás /Védőnői Szolgálat/</t>
  </si>
  <si>
    <t>Háziorvosi alapellátás</t>
  </si>
  <si>
    <t>Sportlétesítmények működtetése és fejlesztése /Sportcsarnok/</t>
  </si>
  <si>
    <t xml:space="preserve">7. </t>
  </si>
  <si>
    <t>Sportlétesítmények működtetése és fejlesztése /Sportpálya/</t>
  </si>
  <si>
    <t>Nappali rendszerű gimnáziumi oktatás</t>
  </si>
  <si>
    <t>Nappali rendszerű szakközépiskolai oktatás</t>
  </si>
  <si>
    <t>Általános Isk.tanulók nappali rendsz.nevelése, okt.(5-8.évfolyam) /Somogyi Imre Általános Iskola/</t>
  </si>
  <si>
    <t>Általános Isk.tanulók nappali rendsz.nevelése, okt.(1-4.évfolyam) /Somogyi Imre Általános Iskola/</t>
  </si>
  <si>
    <t>Általános iskolai napközi otthonos nevelés /Somogyi Imre Általános Iskola/</t>
  </si>
  <si>
    <t>Általános Isk.tanulók nappali rendsz.nevelése, okt.(5-8.évfolyam) /Gyulai G.M.Ált.Műv.okt.Int./</t>
  </si>
  <si>
    <t>Általános Isk.tanulók nappali rendsz.nevelése, okt.(1-4.évfolyam) /Gyulai G.M.Ált.Műv.okt.Int./</t>
  </si>
  <si>
    <t>Általános iskolai napközi otthonos nevelés /Gyulai Gaál Miklós Ált. Iskola/</t>
  </si>
  <si>
    <t>Alapfokú műv.okt. képző-és iparműv.,táncműv.,szín és bábműv. ágban /Gyulai Gaál Miklós Ált. Iskola/</t>
  </si>
  <si>
    <t>Sajátos nevelési igényű gyermekek óvodai nevelése, ellátása /Montágh Imre Általános Iskola, Óvoda és EGYMI Óvoda/</t>
  </si>
  <si>
    <t>Sajátos nevelési igényű általános iskolai tanulók nappali rendsz.nev.,okt. (5-8.évfolyam) /Montágh Imre Ált.Isk.Óvoda és EGYMI/</t>
  </si>
  <si>
    <t>ebből 1 üres álláshely</t>
  </si>
  <si>
    <t>Sajátos nevelési igényű általános iskolai tanulók nappali rendsz.nev.,okt. (1-4.évfolyam) /Montágh Imre Ált.Isk.Óvoda és EGYMI/</t>
  </si>
  <si>
    <t>Sajátos nevelési igényű tanulók napközi otthonos nevelése /Montágh Imre Általános Iskola, Óvoda és EGYMI</t>
  </si>
  <si>
    <t>Pedagógiai szakszolgáltató tevékenység Montágh Imre Általános Iskola, Óvoda és EGYMI</t>
  </si>
  <si>
    <t>Alapfokú művészetoktatás zeneművészeti ágban Bihari János Zeneiskola Alapfokú Művészetoktatási Intézmény</t>
  </si>
  <si>
    <t xml:space="preserve">1 fő prémium évek pr. álláshely </t>
  </si>
  <si>
    <t xml:space="preserve">Óvodai nevelés, ellátás Szivárvány Óvoda </t>
  </si>
  <si>
    <t>Bölcsődei ellátás Szivárvány Bölcsőde</t>
  </si>
  <si>
    <t>Óvodai nevelés, ellátás Gyöngyszemek Óvoda</t>
  </si>
  <si>
    <t>Kulturális műsorok, rendezvények kiállítások szervezése /Művelődési Ház/</t>
  </si>
  <si>
    <t>Könyvtári állomány gyarapítása, nyilvántartása</t>
  </si>
  <si>
    <t>Múzeumi állomány gyarapítása, nyilvántartása</t>
  </si>
  <si>
    <t>Salgóbányai Ifjúsági Tábor</t>
  </si>
  <si>
    <t>Dr. Kostyán Andor Rendelőintézet</t>
  </si>
  <si>
    <t>Abony Város Önkormányzat által 2012-ben Európai Uniós</t>
  </si>
  <si>
    <t>forrásból megvalósítandó beruházásai</t>
  </si>
  <si>
    <t>Összeg</t>
  </si>
  <si>
    <t>KMOP Északkeleti városrész csap.víz elv.</t>
  </si>
  <si>
    <t>KEOP Ivóvízminőség javítás pályázat</t>
  </si>
  <si>
    <t>Közösségi Ház-Könyvtár-Zeneiskola építése+Főtér II. ütem+Piac</t>
  </si>
  <si>
    <t>Abony Város Szennyvíztisztító telepének korszerűsítése KEOP 7.1.0/11/2011</t>
  </si>
  <si>
    <t>Egyenlő esélyű hozzáférés a közszolgálatásokhoz 101/2011 KT</t>
  </si>
  <si>
    <t>Össz.:</t>
  </si>
  <si>
    <t>Óvodai nevelés, ellátás Pingvines Óvoda és Bölcsöde</t>
  </si>
  <si>
    <t>12 fő bölcsödei ellátás +0,5 fő karbantartó</t>
  </si>
  <si>
    <t>SZJA helyben maradó része</t>
  </si>
  <si>
    <t>SZJA jövedelemdifferenciálódás mérséklésére</t>
  </si>
  <si>
    <t>SZJA ÖSSZESEN</t>
  </si>
  <si>
    <t>2011. évi várható</t>
  </si>
  <si>
    <t>2010. évi tény</t>
  </si>
  <si>
    <t>Átmeneti segélyek (1810 eFt átcsoportosításból)</t>
  </si>
  <si>
    <t>adatok Forintban</t>
  </si>
  <si>
    <t>Közfoglalkoztatottak (önkormányzati tev)</t>
  </si>
  <si>
    <t>Pénzforgalom nélküli bevételek (belső finanszírozás)</t>
  </si>
  <si>
    <t>Önkormányzat sajátos működési bevételei/Közhatalmi bevételek</t>
  </si>
  <si>
    <t>Önkormányzat költségvetési támogatása/ Kapott támogatás</t>
  </si>
  <si>
    <t>Felhalmozási bevételek</t>
  </si>
  <si>
    <t>Pénzforgalom nélküli költségvetési bevételek (9)/ Belső finanszírozás</t>
  </si>
  <si>
    <t>b.) munkaadókat terhelő járulékok szociális hozzájárulási adó</t>
  </si>
  <si>
    <t>Munkaadókat etrhelő járulékok és Szociális hozzájárulási adó</t>
  </si>
  <si>
    <t>összes bev</t>
  </si>
  <si>
    <t>Összes kiadás</t>
  </si>
  <si>
    <t>Céltartalékok,általános tartalékok</t>
  </si>
  <si>
    <t>a.) általános működési tartalék</t>
  </si>
  <si>
    <t>Első lakáshoz jutók támogatása</t>
  </si>
  <si>
    <t>karácsonyi ajándékcsomag</t>
  </si>
  <si>
    <t>gyermeküdültetés-táboroztatási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</si>
</sst>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#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b/>
      <i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Times New Roman"/>
      <family val="1"/>
    </font>
    <font>
      <b/>
      <sz val="11"/>
      <name val="Arial CE"/>
      <family val="2"/>
    </font>
    <font>
      <b/>
      <sz val="9"/>
      <name val="Times New Roman"/>
      <family val="1"/>
    </font>
    <font>
      <sz val="11"/>
      <name val="Arial CE"/>
      <family val="2"/>
    </font>
    <font>
      <sz val="9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i/>
      <sz val="12"/>
      <name val="Arial CE"/>
      <family val="2"/>
    </font>
    <font>
      <b/>
      <i/>
      <sz val="10"/>
      <name val="Arial CE"/>
      <family val="0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8"/>
      <name val="Arial"/>
      <family val="2"/>
    </font>
    <font>
      <b/>
      <i/>
      <sz val="7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thick"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0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6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17" borderId="7" applyNumberFormat="0" applyFont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21" borderId="0" applyNumberFormat="0" applyBorder="0" applyAlignment="0" applyProtection="0"/>
    <xf numFmtId="0" fontId="57" fillId="4" borderId="0" applyNumberFormat="0" applyBorder="0" applyAlignment="0" applyProtection="0"/>
    <xf numFmtId="0" fontId="61" fillId="22" borderId="8" applyNumberFormat="0" applyAlignment="0" applyProtection="0"/>
    <xf numFmtId="0" fontId="66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" borderId="0" applyNumberFormat="0" applyBorder="0" applyAlignment="0" applyProtection="0"/>
    <xf numFmtId="0" fontId="59" fillId="23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11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 vertical="center"/>
    </xf>
    <xf numFmtId="0" fontId="9" fillId="0" borderId="36" xfId="0" applyNumberFormat="1" applyFont="1" applyBorder="1" applyAlignment="1">
      <alignment horizontal="left" vertical="center"/>
    </xf>
    <xf numFmtId="0" fontId="8" fillId="0" borderId="23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left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16" fontId="9" fillId="0" borderId="35" xfId="0" applyNumberFormat="1" applyFont="1" applyBorder="1" applyAlignment="1">
      <alignment horizontal="left" vertical="center"/>
    </xf>
    <xf numFmtId="16" fontId="9" fillId="0" borderId="20" xfId="0" applyNumberFormat="1" applyFont="1" applyBorder="1" applyAlignment="1">
      <alignment horizontal="left" vertical="center"/>
    </xf>
    <xf numFmtId="16" fontId="9" fillId="0" borderId="36" xfId="0" applyNumberFormat="1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" fontId="7" fillId="0" borderId="3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49" fontId="16" fillId="0" borderId="38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4" fillId="0" borderId="39" xfId="0" applyNumberFormat="1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left" vertical="center" wrapText="1" indent="1"/>
    </xf>
    <xf numFmtId="0" fontId="5" fillId="0" borderId="18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6" fillId="0" borderId="40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49" fontId="18" fillId="0" borderId="41" xfId="0" applyNumberFormat="1" applyFont="1" applyFill="1" applyBorder="1" applyAlignment="1">
      <alignment horizontal="left" vertical="center" wrapText="1" indent="1"/>
    </xf>
    <xf numFmtId="0" fontId="19" fillId="0" borderId="20" xfId="0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left" vertical="center" wrapText="1" indent="1"/>
    </xf>
    <xf numFmtId="3" fontId="7" fillId="0" borderId="18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left" vertical="center" wrapText="1" indent="1"/>
    </xf>
    <xf numFmtId="3" fontId="7" fillId="0" borderId="18" xfId="0" applyNumberFormat="1" applyFont="1" applyFill="1" applyBorder="1" applyAlignment="1">
      <alignment vertical="center"/>
    </xf>
    <xf numFmtId="3" fontId="7" fillId="0" borderId="40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49" fontId="18" fillId="0" borderId="40" xfId="0" applyNumberFormat="1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left" vertical="center" wrapText="1"/>
    </xf>
    <xf numFmtId="3" fontId="5" fillId="0" borderId="41" xfId="0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6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3" fontId="17" fillId="0" borderId="15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3" fontId="17" fillId="0" borderId="18" xfId="0" applyNumberFormat="1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3" fontId="17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0" fontId="3" fillId="22" borderId="10" xfId="0" applyFont="1" applyFill="1" applyBorder="1" applyAlignment="1">
      <alignment horizontal="center"/>
    </xf>
    <xf numFmtId="3" fontId="15" fillId="22" borderId="10" xfId="0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3" fontId="17" fillId="0" borderId="31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17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3" fontId="19" fillId="0" borderId="22" xfId="0" applyNumberFormat="1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3" fontId="17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 vertical="center"/>
    </xf>
    <xf numFmtId="3" fontId="19" fillId="22" borderId="10" xfId="0" applyNumberFormat="1" applyFont="1" applyFill="1" applyBorder="1" applyAlignment="1">
      <alignment horizontal="right" vertical="center"/>
    </xf>
    <xf numFmtId="3" fontId="19" fillId="2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3" fillId="0" borderId="0" xfId="54">
      <alignment/>
      <protection/>
    </xf>
    <xf numFmtId="0" fontId="23" fillId="0" borderId="0" xfId="54" applyFont="1">
      <alignment/>
      <protection/>
    </xf>
    <xf numFmtId="0" fontId="23" fillId="0" borderId="0" xfId="54" applyFont="1" applyAlignment="1">
      <alignment horizontal="right"/>
      <protection/>
    </xf>
    <xf numFmtId="0" fontId="23" fillId="0" borderId="0" xfId="54" applyAlignment="1">
      <alignment horizontal="center" vertical="center"/>
      <protection/>
    </xf>
    <xf numFmtId="0" fontId="25" fillId="0" borderId="42" xfId="54" applyFont="1" applyBorder="1" applyAlignment="1">
      <alignment horizontal="center" vertical="center"/>
      <protection/>
    </xf>
    <xf numFmtId="0" fontId="26" fillId="0" borderId="43" xfId="54" applyFont="1" applyBorder="1" applyAlignment="1">
      <alignment horizontal="center" vertical="center" wrapText="1"/>
      <protection/>
    </xf>
    <xf numFmtId="0" fontId="27" fillId="0" borderId="43" xfId="54" applyFont="1" applyBorder="1" applyAlignment="1">
      <alignment horizontal="center" vertical="center" wrapText="1"/>
      <protection/>
    </xf>
    <xf numFmtId="0" fontId="27" fillId="0" borderId="44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center"/>
      <protection/>
    </xf>
    <xf numFmtId="0" fontId="28" fillId="0" borderId="0" xfId="54" applyFont="1">
      <alignment/>
      <protection/>
    </xf>
    <xf numFmtId="0" fontId="29" fillId="0" borderId="45" xfId="54" applyFont="1" applyBorder="1" applyAlignment="1">
      <alignment shrinkToFit="1"/>
      <protection/>
    </xf>
    <xf numFmtId="3" fontId="29" fillId="0" borderId="46" xfId="54" applyNumberFormat="1" applyFont="1" applyBorder="1">
      <alignment/>
      <protection/>
    </xf>
    <xf numFmtId="3" fontId="29" fillId="0" borderId="46" xfId="54" applyNumberFormat="1" applyFont="1" applyBorder="1" applyAlignment="1">
      <alignment horizontal="right"/>
      <protection/>
    </xf>
    <xf numFmtId="9" fontId="29" fillId="0" borderId="46" xfId="54" applyNumberFormat="1" applyFont="1" applyBorder="1" applyAlignment="1">
      <alignment horizontal="right"/>
      <protection/>
    </xf>
    <xf numFmtId="9" fontId="29" fillId="0" borderId="47" xfId="54" applyNumberFormat="1" applyFont="1" applyBorder="1" applyAlignment="1">
      <alignment horizontal="right"/>
      <protection/>
    </xf>
    <xf numFmtId="0" fontId="29" fillId="0" borderId="48" xfId="54" applyFont="1" applyBorder="1" applyAlignment="1">
      <alignment shrinkToFit="1"/>
      <protection/>
    </xf>
    <xf numFmtId="3" fontId="29" fillId="0" borderId="49" xfId="54" applyNumberFormat="1" applyFont="1" applyBorder="1">
      <alignment/>
      <protection/>
    </xf>
    <xf numFmtId="3" fontId="29" fillId="0" borderId="49" xfId="54" applyNumberFormat="1" applyFont="1" applyBorder="1" applyAlignment="1">
      <alignment horizontal="right"/>
      <protection/>
    </xf>
    <xf numFmtId="0" fontId="29" fillId="0" borderId="50" xfId="54" applyFont="1" applyBorder="1" applyAlignment="1">
      <alignment shrinkToFit="1"/>
      <protection/>
    </xf>
    <xf numFmtId="3" fontId="29" fillId="0" borderId="51" xfId="54" applyNumberFormat="1" applyFont="1" applyBorder="1">
      <alignment/>
      <protection/>
    </xf>
    <xf numFmtId="3" fontId="29" fillId="0" borderId="51" xfId="54" applyNumberFormat="1" applyFont="1" applyBorder="1" applyAlignment="1">
      <alignment horizontal="right"/>
      <protection/>
    </xf>
    <xf numFmtId="9" fontId="29" fillId="0" borderId="52" xfId="54" applyNumberFormat="1" applyFont="1" applyBorder="1" applyAlignment="1">
      <alignment horizontal="right"/>
      <protection/>
    </xf>
    <xf numFmtId="3" fontId="29" fillId="0" borderId="52" xfId="54" applyNumberFormat="1" applyFont="1" applyBorder="1" applyAlignment="1">
      <alignment horizontal="right"/>
      <protection/>
    </xf>
    <xf numFmtId="9" fontId="29" fillId="0" borderId="53" xfId="54" applyNumberFormat="1" applyFont="1" applyBorder="1" applyAlignment="1">
      <alignment horizontal="right"/>
      <protection/>
    </xf>
    <xf numFmtId="0" fontId="29" fillId="0" borderId="49" xfId="54" applyFont="1" applyBorder="1" applyAlignment="1">
      <alignment shrinkToFit="1"/>
      <protection/>
    </xf>
    <xf numFmtId="9" fontId="29" fillId="0" borderId="49" xfId="54" applyNumberFormat="1" applyFont="1" applyBorder="1" applyAlignment="1">
      <alignment horizontal="right"/>
      <protection/>
    </xf>
    <xf numFmtId="9" fontId="29" fillId="0" borderId="54" xfId="54" applyNumberFormat="1" applyFont="1" applyBorder="1" applyAlignment="1">
      <alignment horizontal="right"/>
      <protection/>
    </xf>
    <xf numFmtId="0" fontId="26" fillId="0" borderId="55" xfId="54" applyFont="1" applyBorder="1" applyAlignment="1">
      <alignment shrinkToFit="1"/>
      <protection/>
    </xf>
    <xf numFmtId="3" fontId="30" fillId="0" borderId="56" xfId="54" applyNumberFormat="1" applyFont="1" applyBorder="1">
      <alignment/>
      <protection/>
    </xf>
    <xf numFmtId="3" fontId="30" fillId="0" borderId="56" xfId="54" applyNumberFormat="1" applyFont="1" applyBorder="1" applyAlignment="1">
      <alignment horizontal="right"/>
      <protection/>
    </xf>
    <xf numFmtId="10" fontId="30" fillId="0" borderId="56" xfId="54" applyNumberFormat="1" applyFont="1" applyBorder="1" applyAlignment="1">
      <alignment horizontal="right"/>
      <protection/>
    </xf>
    <xf numFmtId="10" fontId="30" fillId="0" borderId="57" xfId="54" applyNumberFormat="1" applyFont="1" applyBorder="1" applyAlignment="1">
      <alignment horizontal="right"/>
      <protection/>
    </xf>
    <xf numFmtId="10" fontId="23" fillId="0" borderId="0" xfId="54" applyNumberFormat="1" applyFont="1">
      <alignment/>
      <protection/>
    </xf>
    <xf numFmtId="3" fontId="23" fillId="0" borderId="0" xfId="54" applyNumberFormat="1" applyFont="1">
      <alignment/>
      <protection/>
    </xf>
    <xf numFmtId="3" fontId="23" fillId="0" borderId="0" xfId="54" applyNumberFormat="1" applyFont="1" applyBorder="1" applyAlignment="1">
      <alignment horizontal="right"/>
      <protection/>
    </xf>
    <xf numFmtId="10" fontId="23" fillId="0" borderId="0" xfId="54" applyNumberFormat="1" applyFont="1" applyBorder="1" applyAlignment="1">
      <alignment horizontal="right"/>
      <protection/>
    </xf>
    <xf numFmtId="49" fontId="23" fillId="0" borderId="0" xfId="54" applyNumberFormat="1">
      <alignment/>
      <protection/>
    </xf>
    <xf numFmtId="49" fontId="31" fillId="0" borderId="0" xfId="54" applyNumberFormat="1" applyFont="1">
      <alignment/>
      <protection/>
    </xf>
    <xf numFmtId="49" fontId="23" fillId="0" borderId="0" xfId="54" applyNumberFormat="1" applyFont="1">
      <alignment/>
      <protection/>
    </xf>
    <xf numFmtId="3" fontId="23" fillId="0" borderId="0" xfId="54" applyNumberFormat="1">
      <alignment/>
      <protection/>
    </xf>
    <xf numFmtId="3" fontId="23" fillId="0" borderId="0" xfId="54" applyNumberFormat="1" applyAlignment="1">
      <alignment horizontal="right"/>
      <protection/>
    </xf>
    <xf numFmtId="3" fontId="23" fillId="0" borderId="0" xfId="54" applyNumberFormat="1" applyFont="1" applyAlignment="1">
      <alignment horizontal="right"/>
      <protection/>
    </xf>
    <xf numFmtId="164" fontId="23" fillId="0" borderId="0" xfId="54" applyNumberFormat="1">
      <alignment/>
      <protection/>
    </xf>
    <xf numFmtId="49" fontId="23" fillId="0" borderId="0" xfId="54" applyNumberFormat="1" applyBorder="1">
      <alignment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17" fillId="0" borderId="24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3" fontId="17" fillId="0" borderId="3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/>
    </xf>
    <xf numFmtId="3" fontId="17" fillId="0" borderId="31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7" fillId="0" borderId="4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17" fillId="0" borderId="48" xfId="0" applyNumberFormat="1" applyFont="1" applyBorder="1" applyAlignment="1">
      <alignment vertical="center"/>
    </xf>
    <xf numFmtId="3" fontId="17" fillId="0" borderId="4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17" fillId="0" borderId="50" xfId="0" applyNumberFormat="1" applyFont="1" applyBorder="1" applyAlignment="1">
      <alignment vertical="center"/>
    </xf>
    <xf numFmtId="3" fontId="17" fillId="0" borderId="60" xfId="0" applyNumberFormat="1" applyFont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" fontId="17" fillId="0" borderId="61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4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3" fontId="29" fillId="0" borderId="18" xfId="0" applyNumberFormat="1" applyFont="1" applyBorder="1" applyAlignment="1">
      <alignment horizontal="right" vertical="center" wrapText="1"/>
    </xf>
    <xf numFmtId="0" fontId="30" fillId="0" borderId="18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/>
    </xf>
    <xf numFmtId="3" fontId="30" fillId="0" borderId="18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/>
    </xf>
    <xf numFmtId="3" fontId="29" fillId="0" borderId="18" xfId="0" applyNumberFormat="1" applyFont="1" applyBorder="1" applyAlignment="1">
      <alignment/>
    </xf>
    <xf numFmtId="3" fontId="29" fillId="0" borderId="40" xfId="0" applyNumberFormat="1" applyFont="1" applyBorder="1" applyAlignment="1">
      <alignment/>
    </xf>
    <xf numFmtId="0" fontId="29" fillId="0" borderId="18" xfId="0" applyFont="1" applyBorder="1" applyAlignment="1">
      <alignment/>
    </xf>
    <xf numFmtId="3" fontId="29" fillId="0" borderId="15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/>
    </xf>
    <xf numFmtId="3" fontId="30" fillId="0" borderId="15" xfId="0" applyNumberFormat="1" applyFont="1" applyBorder="1" applyAlignment="1">
      <alignment horizontal="center"/>
    </xf>
    <xf numFmtId="3" fontId="29" fillId="0" borderId="16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39" xfId="0" applyNumberFormat="1" applyFont="1" applyBorder="1" applyAlignment="1">
      <alignment/>
    </xf>
    <xf numFmtId="3" fontId="29" fillId="0" borderId="18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horizontal="center"/>
    </xf>
    <xf numFmtId="0" fontId="29" fillId="0" borderId="13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49" fontId="29" fillId="0" borderId="18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29" fillId="0" borderId="18" xfId="0" applyFont="1" applyBorder="1" applyAlignment="1">
      <alignment horizontal="left" vertical="center" wrapText="1"/>
    </xf>
    <xf numFmtId="49" fontId="29" fillId="0" borderId="31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>
      <alignment horizontal="left" vertical="center" wrapText="1"/>
    </xf>
    <xf numFmtId="3" fontId="29" fillId="0" borderId="40" xfId="0" applyNumberFormat="1" applyFont="1" applyBorder="1" applyAlignment="1">
      <alignment horizontal="right" vertical="center" wrapText="1"/>
    </xf>
    <xf numFmtId="49" fontId="29" fillId="0" borderId="25" xfId="0" applyNumberFormat="1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62" xfId="0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0" fontId="14" fillId="0" borderId="60" xfId="0" applyFont="1" applyBorder="1" applyAlignment="1">
      <alignment vertical="center" wrapText="1"/>
    </xf>
    <xf numFmtId="0" fontId="36" fillId="0" borderId="63" xfId="0" applyFont="1" applyBorder="1" applyAlignment="1">
      <alignment horizontal="left" vertical="center" wrapText="1"/>
    </xf>
    <xf numFmtId="3" fontId="37" fillId="0" borderId="13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41" xfId="0" applyNumberFormat="1" applyFont="1" applyBorder="1" applyAlignment="1">
      <alignment/>
    </xf>
    <xf numFmtId="0" fontId="37" fillId="0" borderId="60" xfId="0" applyFont="1" applyBorder="1" applyAlignment="1">
      <alignment vertical="center" wrapText="1"/>
    </xf>
    <xf numFmtId="0" fontId="36" fillId="0" borderId="63" xfId="0" applyFont="1" applyBorder="1" applyAlignment="1">
      <alignment vertical="center" wrapText="1"/>
    </xf>
    <xf numFmtId="0" fontId="37" fillId="0" borderId="13" xfId="0" applyFont="1" applyBorder="1" applyAlignment="1">
      <alignment vertical="center"/>
    </xf>
    <xf numFmtId="3" fontId="37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right"/>
    </xf>
    <xf numFmtId="0" fontId="30" fillId="0" borderId="10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30" fillId="0" borderId="24" xfId="0" applyFont="1" applyBorder="1" applyAlignment="1">
      <alignment horizontal="center"/>
    </xf>
    <xf numFmtId="3" fontId="30" fillId="0" borderId="15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0" fontId="29" fillId="0" borderId="15" xfId="0" applyFont="1" applyBorder="1" applyAlignment="1">
      <alignment horizontal="left"/>
    </xf>
    <xf numFmtId="3" fontId="29" fillId="0" borderId="15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0" fontId="29" fillId="0" borderId="18" xfId="0" applyFont="1" applyBorder="1" applyAlignment="1">
      <alignment horizontal="left"/>
    </xf>
    <xf numFmtId="3" fontId="39" fillId="0" borderId="16" xfId="0" applyNumberFormat="1" applyFont="1" applyBorder="1" applyAlignment="1">
      <alignment/>
    </xf>
    <xf numFmtId="0" fontId="29" fillId="0" borderId="15" xfId="0" applyFont="1" applyBorder="1" applyAlignment="1">
      <alignment horizontal="left" wrapText="1"/>
    </xf>
    <xf numFmtId="0" fontId="29" fillId="0" borderId="25" xfId="0" applyFont="1" applyBorder="1" applyAlignment="1">
      <alignment horizontal="left"/>
    </xf>
    <xf numFmtId="0" fontId="30" fillId="0" borderId="11" xfId="0" applyFont="1" applyBorder="1" applyAlignment="1">
      <alignment horizontal="center"/>
    </xf>
    <xf numFmtId="3" fontId="30" fillId="0" borderId="10" xfId="0" applyNumberFormat="1" applyFont="1" applyBorder="1" applyAlignment="1">
      <alignment/>
    </xf>
    <xf numFmtId="0" fontId="14" fillId="0" borderId="30" xfId="0" applyFont="1" applyBorder="1" applyAlignment="1">
      <alignment horizontal="left"/>
    </xf>
    <xf numFmtId="0" fontId="12" fillId="0" borderId="0" xfId="57">
      <alignment/>
      <protection/>
    </xf>
    <xf numFmtId="0" fontId="0" fillId="0" borderId="0" xfId="57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42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2" fillId="0" borderId="45" xfId="0" applyFont="1" applyBorder="1" applyAlignment="1">
      <alignment/>
    </xf>
    <xf numFmtId="0" fontId="0" fillId="0" borderId="65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8" xfId="0" applyFont="1" applyBorder="1" applyAlignment="1">
      <alignment/>
    </xf>
    <xf numFmtId="0" fontId="0" fillId="0" borderId="66" xfId="0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56" xfId="0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3" fontId="2" fillId="0" borderId="70" xfId="0" applyNumberFormat="1" applyFont="1" applyBorder="1" applyAlignment="1">
      <alignment/>
    </xf>
    <xf numFmtId="3" fontId="2" fillId="0" borderId="71" xfId="0" applyNumberFormat="1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3" fontId="2" fillId="0" borderId="74" xfId="0" applyNumberFormat="1" applyFont="1" applyBorder="1" applyAlignment="1">
      <alignment/>
    </xf>
    <xf numFmtId="3" fontId="2" fillId="0" borderId="75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23" fillId="24" borderId="48" xfId="0" applyFont="1" applyFill="1" applyBorder="1" applyAlignment="1">
      <alignment horizontal="left"/>
    </xf>
    <xf numFmtId="0" fontId="23" fillId="24" borderId="66" xfId="0" applyFont="1" applyFill="1" applyBorder="1" applyAlignment="1">
      <alignment horizontal="left"/>
    </xf>
    <xf numFmtId="3" fontId="35" fillId="0" borderId="49" xfId="0" applyNumberFormat="1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66" xfId="0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6" xfId="0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76" xfId="0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165" fontId="41" fillId="0" borderId="0" xfId="59" applyNumberFormat="1" applyFont="1" applyFill="1" applyAlignment="1">
      <alignment horizontal="center" vertical="center" wrapText="1"/>
      <protection/>
    </xf>
    <xf numFmtId="165" fontId="41" fillId="0" borderId="0" xfId="59" applyNumberFormat="1" applyFont="1" applyFill="1" applyAlignment="1">
      <alignment vertical="center" wrapText="1"/>
      <protection/>
    </xf>
    <xf numFmtId="165" fontId="42" fillId="0" borderId="0" xfId="59" applyNumberFormat="1" applyFont="1" applyFill="1" applyAlignment="1">
      <alignment horizontal="right" vertical="center"/>
      <protection/>
    </xf>
    <xf numFmtId="0" fontId="43" fillId="0" borderId="42" xfId="59" applyFont="1" applyFill="1" applyBorder="1" applyAlignment="1">
      <alignment horizontal="center" vertical="center" wrapText="1"/>
      <protection/>
    </xf>
    <xf numFmtId="0" fontId="43" fillId="0" borderId="43" xfId="59" applyFont="1" applyFill="1" applyBorder="1" applyAlignment="1">
      <alignment horizontal="center" vertical="center" wrapText="1"/>
      <protection/>
    </xf>
    <xf numFmtId="0" fontId="43" fillId="0" borderId="44" xfId="59" applyFont="1" applyFill="1" applyBorder="1" applyAlignment="1">
      <alignment horizontal="center" vertical="center" wrapText="1"/>
      <protection/>
    </xf>
    <xf numFmtId="0" fontId="44" fillId="0" borderId="0" xfId="59" applyFont="1" applyFill="1" applyAlignment="1">
      <alignment horizontal="center" vertical="center" wrapText="1"/>
      <protection/>
    </xf>
    <xf numFmtId="0" fontId="45" fillId="0" borderId="42" xfId="59" applyFont="1" applyFill="1" applyBorder="1" applyAlignment="1">
      <alignment horizontal="center" vertical="center" wrapText="1"/>
      <protection/>
    </xf>
    <xf numFmtId="0" fontId="45" fillId="0" borderId="43" xfId="59" applyFont="1" applyFill="1" applyBorder="1" applyAlignment="1">
      <alignment horizontal="center" vertical="center" wrapText="1"/>
      <protection/>
    </xf>
    <xf numFmtId="0" fontId="45" fillId="0" borderId="44" xfId="59" applyFont="1" applyFill="1" applyBorder="1" applyAlignment="1">
      <alignment horizontal="center" vertical="center" wrapText="1"/>
      <protection/>
    </xf>
    <xf numFmtId="0" fontId="46" fillId="0" borderId="45" xfId="59" applyFont="1" applyFill="1" applyBorder="1" applyAlignment="1">
      <alignment horizontal="center" vertical="center" wrapText="1"/>
      <protection/>
    </xf>
    <xf numFmtId="0" fontId="46" fillId="0" borderId="46" xfId="59" applyFont="1" applyFill="1" applyBorder="1" applyAlignment="1" applyProtection="1">
      <alignment vertical="center" wrapText="1"/>
      <protection locked="0"/>
    </xf>
    <xf numFmtId="3" fontId="46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3" fontId="46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59" applyFill="1" applyAlignment="1">
      <alignment vertical="center" wrapText="1"/>
      <protection/>
    </xf>
    <xf numFmtId="0" fontId="46" fillId="0" borderId="48" xfId="59" applyFont="1" applyFill="1" applyBorder="1" applyAlignment="1">
      <alignment horizontal="center" vertical="center" wrapText="1"/>
      <protection/>
    </xf>
    <xf numFmtId="0" fontId="46" fillId="0" borderId="49" xfId="59" applyFont="1" applyFill="1" applyBorder="1" applyAlignment="1" applyProtection="1">
      <alignment vertical="center" wrapText="1"/>
      <protection locked="0"/>
    </xf>
    <xf numFmtId="3" fontId="46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3" fontId="46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5" fontId="46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5" fontId="46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55" xfId="59" applyFont="1" applyFill="1" applyBorder="1" applyAlignment="1">
      <alignment horizontal="center" vertical="center" wrapText="1"/>
      <protection/>
    </xf>
    <xf numFmtId="0" fontId="46" fillId="0" borderId="56" xfId="59" applyFont="1" applyFill="1" applyBorder="1" applyAlignment="1" applyProtection="1">
      <alignment vertical="center" wrapText="1"/>
      <protection locked="0"/>
    </xf>
    <xf numFmtId="165" fontId="46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5" fontId="46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59" xfId="59" applyFont="1" applyFill="1" applyBorder="1" applyAlignment="1">
      <alignment horizontal="center" vertical="center" wrapText="1"/>
      <protection/>
    </xf>
    <xf numFmtId="0" fontId="43" fillId="0" borderId="77" xfId="59" applyFont="1" applyFill="1" applyBorder="1" applyAlignment="1">
      <alignment vertical="center" wrapText="1"/>
      <protection/>
    </xf>
    <xf numFmtId="165" fontId="45" fillId="0" borderId="77" xfId="59" applyNumberFormat="1" applyFont="1" applyFill="1" applyBorder="1" applyAlignment="1">
      <alignment vertical="center" wrapText="1"/>
      <protection/>
    </xf>
    <xf numFmtId="165" fontId="45" fillId="0" borderId="78" xfId="59" applyNumberFormat="1" applyFont="1" applyFill="1" applyBorder="1" applyAlignment="1">
      <alignment vertical="center" wrapText="1"/>
      <protection/>
    </xf>
    <xf numFmtId="0" fontId="40" fillId="0" borderId="0" xfId="59" applyFill="1" applyAlignment="1">
      <alignment horizontal="right" vertical="center" wrapText="1"/>
      <protection/>
    </xf>
    <xf numFmtId="0" fontId="40" fillId="0" borderId="0" xfId="59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0" xfId="58" applyNumberFormat="1" applyFont="1" applyAlignment="1">
      <alignment horizontal="right" vertical="center"/>
      <protection/>
    </xf>
    <xf numFmtId="0" fontId="13" fillId="0" borderId="0" xfId="58" applyFont="1" applyAlignment="1">
      <alignment/>
      <protection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35" xfId="0" applyNumberFormat="1" applyBorder="1" applyAlignment="1">
      <alignment horizontal="right" vertical="center" wrapText="1"/>
    </xf>
    <xf numFmtId="3" fontId="0" fillId="0" borderId="3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3" fontId="0" fillId="0" borderId="20" xfId="0" applyNumberFormat="1" applyBorder="1" applyAlignment="1">
      <alignment horizontal="right" vertical="center" wrapText="1"/>
    </xf>
    <xf numFmtId="3" fontId="0" fillId="0" borderId="20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3" fontId="0" fillId="0" borderId="36" xfId="0" applyNumberFormat="1" applyBorder="1" applyAlignment="1">
      <alignment horizontal="right" vertical="center" wrapText="1"/>
    </xf>
    <xf numFmtId="3" fontId="0" fillId="0" borderId="36" xfId="0" applyNumberFormat="1" applyBorder="1" applyAlignment="1">
      <alignment horizontal="right"/>
    </xf>
    <xf numFmtId="3" fontId="0" fillId="0" borderId="31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3" fontId="0" fillId="0" borderId="17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 wrapText="1"/>
    </xf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 shrinkToFit="1"/>
    </xf>
    <xf numFmtId="0" fontId="47" fillId="0" borderId="11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 wrapText="1"/>
    </xf>
    <xf numFmtId="3" fontId="47" fillId="0" borderId="43" xfId="0" applyNumberFormat="1" applyFont="1" applyFill="1" applyBorder="1" applyAlignment="1">
      <alignment horizontal="center"/>
    </xf>
    <xf numFmtId="3" fontId="47" fillId="0" borderId="43" xfId="0" applyNumberFormat="1" applyFont="1" applyFill="1" applyBorder="1" applyAlignment="1">
      <alignment horizontal="center" shrinkToFit="1"/>
    </xf>
    <xf numFmtId="3" fontId="47" fillId="0" borderId="4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9" fillId="0" borderId="35" xfId="0" applyFont="1" applyFill="1" applyBorder="1" applyAlignment="1">
      <alignment/>
    </xf>
    <xf numFmtId="0" fontId="29" fillId="0" borderId="72" xfId="0" applyFont="1" applyFill="1" applyBorder="1" applyAlignment="1">
      <alignment wrapText="1"/>
    </xf>
    <xf numFmtId="3" fontId="30" fillId="0" borderId="74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 vertical="center"/>
    </xf>
    <xf numFmtId="3" fontId="29" fillId="0" borderId="74" xfId="0" applyNumberFormat="1" applyFont="1" applyFill="1" applyBorder="1" applyAlignment="1">
      <alignment/>
    </xf>
    <xf numFmtId="3" fontId="29" fillId="0" borderId="7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48" xfId="0" applyFont="1" applyFill="1" applyBorder="1" applyAlignment="1">
      <alignment wrapText="1"/>
    </xf>
    <xf numFmtId="3" fontId="30" fillId="0" borderId="49" xfId="0" applyNumberFormat="1" applyFont="1" applyFill="1" applyBorder="1" applyAlignment="1">
      <alignment/>
    </xf>
    <xf numFmtId="3" fontId="30" fillId="0" borderId="54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29" fillId="0" borderId="47" xfId="0" applyNumberFormat="1" applyFont="1" applyFill="1" applyBorder="1" applyAlignment="1">
      <alignment/>
    </xf>
    <xf numFmtId="3" fontId="29" fillId="0" borderId="49" xfId="0" applyNumberFormat="1" applyFont="1" applyFill="1" applyBorder="1" applyAlignment="1">
      <alignment/>
    </xf>
    <xf numFmtId="3" fontId="29" fillId="0" borderId="54" xfId="0" applyNumberFormat="1" applyFont="1" applyFill="1" applyBorder="1" applyAlignment="1">
      <alignment/>
    </xf>
    <xf numFmtId="3" fontId="29" fillId="0" borderId="49" xfId="0" applyNumberFormat="1" applyFont="1" applyFill="1" applyBorder="1" applyAlignment="1">
      <alignment shrinkToFit="1"/>
    </xf>
    <xf numFmtId="0" fontId="29" fillId="0" borderId="27" xfId="0" applyFont="1" applyFill="1" applyBorder="1" applyAlignment="1">
      <alignment/>
    </xf>
    <xf numFmtId="0" fontId="29" fillId="0" borderId="50" xfId="0" applyFont="1" applyFill="1" applyBorder="1" applyAlignment="1">
      <alignment wrapText="1"/>
    </xf>
    <xf numFmtId="3" fontId="30" fillId="0" borderId="51" xfId="0" applyNumberFormat="1" applyFont="1" applyFill="1" applyBorder="1" applyAlignment="1">
      <alignment/>
    </xf>
    <xf numFmtId="3" fontId="29" fillId="0" borderId="51" xfId="0" applyNumberFormat="1" applyFont="1" applyFill="1" applyBorder="1" applyAlignment="1">
      <alignment/>
    </xf>
    <xf numFmtId="3" fontId="29" fillId="0" borderId="67" xfId="0" applyNumberFormat="1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30" fillId="0" borderId="42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/>
    </xf>
    <xf numFmtId="3" fontId="30" fillId="0" borderId="44" xfId="0" applyNumberFormat="1" applyFont="1" applyFill="1" applyBorder="1" applyAlignment="1">
      <alignment/>
    </xf>
    <xf numFmtId="3" fontId="29" fillId="0" borderId="74" xfId="0" applyNumberFormat="1" applyFont="1" applyFill="1" applyBorder="1" applyAlignment="1">
      <alignment shrinkToFit="1"/>
    </xf>
    <xf numFmtId="3" fontId="29" fillId="0" borderId="54" xfId="0" applyNumberFormat="1" applyFont="1" applyFill="1" applyBorder="1" applyAlignment="1">
      <alignment shrinkToFit="1"/>
    </xf>
    <xf numFmtId="0" fontId="30" fillId="0" borderId="50" xfId="0" applyFont="1" applyFill="1" applyBorder="1" applyAlignment="1">
      <alignment wrapText="1"/>
    </xf>
    <xf numFmtId="3" fontId="30" fillId="0" borderId="67" xfId="0" applyNumberFormat="1" applyFont="1" applyFill="1" applyBorder="1" applyAlignment="1">
      <alignment/>
    </xf>
    <xf numFmtId="0" fontId="0" fillId="0" borderId="66" xfId="0" applyFill="1" applyBorder="1" applyAlignment="1">
      <alignment/>
    </xf>
    <xf numFmtId="0" fontId="0" fillId="0" borderId="49" xfId="0" applyFill="1" applyBorder="1" applyAlignment="1">
      <alignment/>
    </xf>
    <xf numFmtId="3" fontId="2" fillId="0" borderId="0" xfId="0" applyNumberFormat="1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wrapText="1"/>
    </xf>
    <xf numFmtId="3" fontId="9" fillId="0" borderId="43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 shrinkToFit="1"/>
    </xf>
    <xf numFmtId="3" fontId="9" fillId="0" borderId="62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72" xfId="0" applyFill="1" applyBorder="1" applyAlignment="1">
      <alignment wrapText="1"/>
    </xf>
    <xf numFmtId="3" fontId="2" fillId="0" borderId="74" xfId="0" applyNumberFormat="1" applyFon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7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8" xfId="0" applyFill="1" applyBorder="1" applyAlignment="1">
      <alignment wrapText="1"/>
    </xf>
    <xf numFmtId="3" fontId="2" fillId="0" borderId="49" xfId="0" applyNumberFormat="1" applyFon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0" fillId="0" borderId="20" xfId="0" applyFill="1" applyBorder="1" applyAlignment="1">
      <alignment wrapText="1"/>
    </xf>
    <xf numFmtId="49" fontId="5" fillId="0" borderId="20" xfId="0" applyNumberFormat="1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2" fillId="0" borderId="48" xfId="0" applyFont="1" applyFill="1" applyBorder="1" applyAlignment="1">
      <alignment wrapText="1"/>
    </xf>
    <xf numFmtId="3" fontId="2" fillId="0" borderId="54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49" xfId="0" applyNumberFormat="1" applyFill="1" applyBorder="1" applyAlignment="1">
      <alignment shrinkToFit="1"/>
    </xf>
    <xf numFmtId="3" fontId="0" fillId="0" borderId="79" xfId="0" applyNumberFormat="1" applyFill="1" applyBorder="1" applyAlignment="1">
      <alignment/>
    </xf>
    <xf numFmtId="0" fontId="2" fillId="0" borderId="50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0" fontId="2" fillId="0" borderId="59" xfId="0" applyFont="1" applyFill="1" applyBorder="1" applyAlignment="1">
      <alignment wrapText="1"/>
    </xf>
    <xf numFmtId="3" fontId="2" fillId="0" borderId="56" xfId="0" applyNumberFormat="1" applyFont="1" applyFill="1" applyBorder="1" applyAlignment="1">
      <alignment/>
    </xf>
    <xf numFmtId="3" fontId="30" fillId="0" borderId="77" xfId="0" applyNumberFormat="1" applyFont="1" applyFill="1" applyBorder="1" applyAlignment="1">
      <alignment/>
    </xf>
    <xf numFmtId="3" fontId="30" fillId="0" borderId="78" xfId="0" applyNumberFormat="1" applyFont="1" applyFill="1" applyBorder="1" applyAlignment="1">
      <alignment/>
    </xf>
    <xf numFmtId="3" fontId="0" fillId="0" borderId="0" xfId="0" applyNumberFormat="1" applyFill="1" applyAlignment="1">
      <alignment shrinkToFit="1"/>
    </xf>
    <xf numFmtId="0" fontId="15" fillId="0" borderId="0" xfId="0" applyFont="1" applyAlignment="1">
      <alignment/>
    </xf>
    <xf numFmtId="0" fontId="3" fillId="0" borderId="42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50" xfId="0" applyFont="1" applyBorder="1" applyAlignment="1">
      <alignment wrapText="1"/>
    </xf>
    <xf numFmtId="3" fontId="0" fillId="0" borderId="5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4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164" fontId="0" fillId="0" borderId="49" xfId="0" applyNumberFormat="1" applyFont="1" applyBorder="1" applyAlignment="1">
      <alignment horizontal="right" vertical="center" wrapText="1"/>
    </xf>
    <xf numFmtId="14" fontId="0" fillId="0" borderId="49" xfId="0" applyNumberFormat="1" applyFont="1" applyBorder="1" applyAlignment="1">
      <alignment horizontal="center" vertical="center" wrapText="1"/>
    </xf>
    <xf numFmtId="164" fontId="0" fillId="0" borderId="54" xfId="0" applyNumberFormat="1" applyFont="1" applyBorder="1" applyAlignment="1">
      <alignment horizontal="right" vertical="center" wrapText="1"/>
    </xf>
    <xf numFmtId="14" fontId="0" fillId="0" borderId="49" xfId="0" applyNumberForma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0" fillId="0" borderId="49" xfId="0" applyNumberForma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 wrapText="1"/>
    </xf>
    <xf numFmtId="0" fontId="0" fillId="0" borderId="51" xfId="0" applyBorder="1" applyAlignment="1">
      <alignment/>
    </xf>
    <xf numFmtId="16" fontId="0" fillId="0" borderId="51" xfId="0" applyNumberFormat="1" applyBorder="1" applyAlignment="1">
      <alignment horizontal="center"/>
    </xf>
    <xf numFmtId="0" fontId="0" fillId="0" borderId="67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 wrapText="1"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14" fontId="2" fillId="0" borderId="43" xfId="0" applyNumberFormat="1" applyFont="1" applyBorder="1" applyAlignment="1">
      <alignment horizontal="center"/>
    </xf>
    <xf numFmtId="14" fontId="2" fillId="0" borderId="44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right" wrapText="1"/>
    </xf>
    <xf numFmtId="3" fontId="0" fillId="0" borderId="49" xfId="0" applyNumberFormat="1" applyFont="1" applyBorder="1" applyAlignment="1">
      <alignment horizontal="right" vertical="center" wrapText="1"/>
    </xf>
    <xf numFmtId="3" fontId="0" fillId="0" borderId="49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14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49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4" xfId="0" applyBorder="1" applyAlignment="1">
      <alignment horizontal="right"/>
    </xf>
    <xf numFmtId="0" fontId="2" fillId="0" borderId="56" xfId="0" applyNumberFormat="1" applyFont="1" applyBorder="1" applyAlignment="1">
      <alignment horizontal="right"/>
    </xf>
    <xf numFmtId="0" fontId="0" fillId="0" borderId="56" xfId="0" applyNumberFormat="1" applyFont="1" applyBorder="1" applyAlignment="1">
      <alignment horizontal="right"/>
    </xf>
    <xf numFmtId="0" fontId="0" fillId="0" borderId="57" xfId="0" applyNumberFormat="1" applyFont="1" applyBorder="1" applyAlignment="1">
      <alignment horizontal="right"/>
    </xf>
    <xf numFmtId="1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49" fontId="0" fillId="0" borderId="18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49" fontId="0" fillId="0" borderId="31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vertical="center"/>
    </xf>
    <xf numFmtId="0" fontId="22" fillId="0" borderId="11" xfId="0" applyFont="1" applyBorder="1" applyAlignment="1">
      <alignment horizontal="left" vertical="top" wrapText="1"/>
    </xf>
    <xf numFmtId="3" fontId="22" fillId="0" borderId="13" xfId="0" applyNumberFormat="1" applyFont="1" applyFill="1" applyBorder="1" applyAlignment="1">
      <alignment vertical="center"/>
    </xf>
    <xf numFmtId="49" fontId="0" fillId="0" borderId="24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vertical="center"/>
    </xf>
    <xf numFmtId="49" fontId="0" fillId="0" borderId="25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vertical="center"/>
    </xf>
    <xf numFmtId="0" fontId="2" fillId="22" borderId="11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2" fillId="22" borderId="10" xfId="0" applyFont="1" applyFill="1" applyBorder="1" applyAlignment="1">
      <alignment vertical="center" shrinkToFit="1"/>
    </xf>
    <xf numFmtId="49" fontId="0" fillId="16" borderId="10" xfId="0" applyNumberFormat="1" applyFill="1" applyBorder="1" applyAlignment="1">
      <alignment horizontal="center" vertical="center"/>
    </xf>
    <xf numFmtId="3" fontId="2" fillId="22" borderId="22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shrinkToFit="1"/>
    </xf>
    <xf numFmtId="3" fontId="0" fillId="0" borderId="10" xfId="0" applyNumberFormat="1" applyFill="1" applyBorder="1" applyAlignment="1">
      <alignment vertical="center"/>
    </xf>
    <xf numFmtId="0" fontId="22" fillId="0" borderId="10" xfId="0" applyFont="1" applyBorder="1" applyAlignment="1">
      <alignment horizontal="left" vertical="top" wrapText="1"/>
    </xf>
    <xf numFmtId="3" fontId="22" fillId="0" borderId="10" xfId="0" applyNumberFormat="1" applyFont="1" applyBorder="1" applyAlignment="1">
      <alignment horizontal="right" vertical="top" wrapText="1"/>
    </xf>
    <xf numFmtId="3" fontId="0" fillId="0" borderId="31" xfId="0" applyNumberFormat="1" applyFill="1" applyBorder="1" applyAlignment="1">
      <alignment horizontal="right" vertical="center"/>
    </xf>
    <xf numFmtId="0" fontId="22" fillId="0" borderId="37" xfId="0" applyFont="1" applyBorder="1" applyAlignment="1">
      <alignment horizontal="left" vertical="top" wrapText="1"/>
    </xf>
    <xf numFmtId="49" fontId="0" fillId="16" borderId="18" xfId="0" applyNumberFormat="1" applyFill="1" applyBorder="1" applyAlignment="1">
      <alignment horizontal="center" vertical="center"/>
    </xf>
    <xf numFmtId="3" fontId="2" fillId="22" borderId="1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8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center" wrapText="1"/>
    </xf>
    <xf numFmtId="0" fontId="22" fillId="16" borderId="11" xfId="0" applyFont="1" applyFill="1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 vertical="center" wrapText="1"/>
    </xf>
    <xf numFmtId="3" fontId="2" fillId="16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31" xfId="0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13" xfId="0" applyBorder="1" applyAlignment="1">
      <alignment horizontal="center"/>
    </xf>
    <xf numFmtId="3" fontId="0" fillId="0" borderId="41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40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30" xfId="0" applyNumberFormat="1" applyBorder="1" applyAlignment="1">
      <alignment horizontal="right" vertical="center" wrapText="1"/>
    </xf>
    <xf numFmtId="0" fontId="0" fillId="0" borderId="31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 wrapText="1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3" fontId="0" fillId="0" borderId="25" xfId="0" applyNumberFormat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0" xfId="55">
      <alignment/>
      <protection/>
    </xf>
    <xf numFmtId="0" fontId="48" fillId="0" borderId="0" xfId="55" applyFont="1">
      <alignment/>
      <protection/>
    </xf>
    <xf numFmtId="0" fontId="49" fillId="0" borderId="0" xfId="55" applyFont="1" applyAlignment="1">
      <alignment horizontal="right"/>
      <protection/>
    </xf>
    <xf numFmtId="0" fontId="48" fillId="0" borderId="68" xfId="55" applyFont="1" applyBorder="1">
      <alignment/>
      <protection/>
    </xf>
    <xf numFmtId="0" fontId="48" fillId="0" borderId="70" xfId="55" applyFont="1" applyBorder="1" applyAlignment="1">
      <alignment horizontal="center"/>
      <protection/>
    </xf>
    <xf numFmtId="0" fontId="1" fillId="0" borderId="71" xfId="55" applyBorder="1">
      <alignment/>
      <protection/>
    </xf>
    <xf numFmtId="0" fontId="1" fillId="0" borderId="48" xfId="55" applyBorder="1" applyAlignment="1">
      <alignment horizontal="center"/>
      <protection/>
    </xf>
    <xf numFmtId="0" fontId="1" fillId="0" borderId="49" xfId="55" applyBorder="1">
      <alignment/>
      <protection/>
    </xf>
    <xf numFmtId="0" fontId="50" fillId="0" borderId="49" xfId="55" applyFont="1" applyBorder="1" applyAlignment="1">
      <alignment horizontal="center"/>
      <protection/>
    </xf>
    <xf numFmtId="0" fontId="50" fillId="0" borderId="54" xfId="55" applyFont="1" applyBorder="1">
      <alignment/>
      <protection/>
    </xf>
    <xf numFmtId="0" fontId="1" fillId="0" borderId="49" xfId="55" applyBorder="1" applyAlignment="1">
      <alignment wrapText="1"/>
      <protection/>
    </xf>
    <xf numFmtId="0" fontId="50" fillId="0" borderId="54" xfId="55" applyFont="1" applyBorder="1" applyAlignment="1">
      <alignment wrapText="1"/>
      <protection/>
    </xf>
    <xf numFmtId="0" fontId="50" fillId="0" borderId="49" xfId="55" applyNumberFormat="1" applyFont="1" applyBorder="1" applyAlignment="1">
      <alignment horizontal="center"/>
      <protection/>
    </xf>
    <xf numFmtId="0" fontId="1" fillId="0" borderId="51" xfId="55" applyBorder="1">
      <alignment/>
      <protection/>
    </xf>
    <xf numFmtId="0" fontId="50" fillId="0" borderId="51" xfId="55" applyFont="1" applyBorder="1" applyAlignment="1">
      <alignment horizontal="center"/>
      <protection/>
    </xf>
    <xf numFmtId="0" fontId="1" fillId="0" borderId="67" xfId="55" applyBorder="1">
      <alignment/>
      <protection/>
    </xf>
    <xf numFmtId="0" fontId="1" fillId="0" borderId="54" xfId="55" applyBorder="1">
      <alignment/>
      <protection/>
    </xf>
    <xf numFmtId="0" fontId="1" fillId="0" borderId="60" xfId="55" applyBorder="1" applyAlignment="1">
      <alignment horizontal="center"/>
      <protection/>
    </xf>
    <xf numFmtId="0" fontId="50" fillId="0" borderId="52" xfId="55" applyFont="1" applyBorder="1" applyAlignment="1">
      <alignment horizontal="center"/>
      <protection/>
    </xf>
    <xf numFmtId="0" fontId="1" fillId="0" borderId="53" xfId="55" applyBorder="1">
      <alignment/>
      <protection/>
    </xf>
    <xf numFmtId="0" fontId="1" fillId="0" borderId="42" xfId="55" applyBorder="1" applyAlignment="1">
      <alignment horizontal="center"/>
      <protection/>
    </xf>
    <xf numFmtId="0" fontId="48" fillId="0" borderId="43" xfId="55" applyFont="1" applyBorder="1">
      <alignment/>
      <protection/>
    </xf>
    <xf numFmtId="0" fontId="48" fillId="0" borderId="43" xfId="55" applyFont="1" applyBorder="1" applyAlignment="1">
      <alignment horizontal="center"/>
      <protection/>
    </xf>
    <xf numFmtId="0" fontId="1" fillId="0" borderId="44" xfId="55" applyBorder="1">
      <alignment/>
      <protection/>
    </xf>
    <xf numFmtId="0" fontId="1" fillId="0" borderId="0" xfId="55" applyBorder="1" applyAlignment="1">
      <alignment horizontal="center"/>
      <protection/>
    </xf>
    <xf numFmtId="0" fontId="1" fillId="0" borderId="0" xfId="55" applyBorder="1">
      <alignment/>
      <protection/>
    </xf>
    <xf numFmtId="0" fontId="51" fillId="0" borderId="0" xfId="54" applyFont="1" applyAlignment="1">
      <alignment horizontal="center"/>
      <protection/>
    </xf>
    <xf numFmtId="0" fontId="29" fillId="0" borderId="0" xfId="54" applyFont="1" applyAlignment="1">
      <alignment horizontal="right"/>
      <protection/>
    </xf>
    <xf numFmtId="0" fontId="51" fillId="0" borderId="42" xfId="54" applyFont="1" applyBorder="1" applyAlignment="1">
      <alignment horizontal="center"/>
      <protection/>
    </xf>
    <xf numFmtId="0" fontId="51" fillId="0" borderId="43" xfId="54" applyFont="1" applyBorder="1" applyAlignment="1">
      <alignment horizontal="center"/>
      <protection/>
    </xf>
    <xf numFmtId="0" fontId="26" fillId="0" borderId="44" xfId="54" applyFont="1" applyBorder="1" applyAlignment="1">
      <alignment horizontal="center"/>
      <protection/>
    </xf>
    <xf numFmtId="0" fontId="23" fillId="0" borderId="0" xfId="54" applyFont="1">
      <alignment/>
      <protection/>
    </xf>
    <xf numFmtId="0" fontId="37" fillId="0" borderId="45" xfId="54" applyFont="1" applyBorder="1" applyAlignment="1">
      <alignment horizontal="center"/>
      <protection/>
    </xf>
    <xf numFmtId="0" fontId="37" fillId="0" borderId="46" xfId="54" applyFont="1" applyBorder="1">
      <alignment/>
      <protection/>
    </xf>
    <xf numFmtId="3" fontId="52" fillId="0" borderId="47" xfId="54" applyNumberFormat="1" applyFont="1" applyBorder="1">
      <alignment/>
      <protection/>
    </xf>
    <xf numFmtId="0" fontId="37" fillId="0" borderId="49" xfId="54" applyFont="1" applyBorder="1">
      <alignment/>
      <protection/>
    </xf>
    <xf numFmtId="3" fontId="52" fillId="0" borderId="54" xfId="54" applyNumberFormat="1" applyFont="1" applyBorder="1">
      <alignment/>
      <protection/>
    </xf>
    <xf numFmtId="0" fontId="37" fillId="0" borderId="60" xfId="54" applyFont="1" applyBorder="1" applyAlignment="1">
      <alignment horizontal="center"/>
      <protection/>
    </xf>
    <xf numFmtId="0" fontId="37" fillId="0" borderId="52" xfId="54" applyFont="1" applyBorder="1">
      <alignment/>
      <protection/>
    </xf>
    <xf numFmtId="3" fontId="52" fillId="0" borderId="53" xfId="54" applyNumberFormat="1" applyFont="1" applyBorder="1">
      <alignment/>
      <protection/>
    </xf>
    <xf numFmtId="0" fontId="37" fillId="0" borderId="55" xfId="54" applyFont="1" applyBorder="1" applyAlignment="1">
      <alignment horizontal="center"/>
      <protection/>
    </xf>
    <xf numFmtId="0" fontId="37" fillId="0" borderId="56" xfId="54" applyFont="1" applyBorder="1">
      <alignment/>
      <protection/>
    </xf>
    <xf numFmtId="3" fontId="52" fillId="0" borderId="57" xfId="54" applyNumberFormat="1" applyFont="1" applyBorder="1">
      <alignment/>
      <protection/>
    </xf>
    <xf numFmtId="0" fontId="14" fillId="0" borderId="42" xfId="54" applyFont="1" applyBorder="1" applyAlignment="1">
      <alignment horizontal="center"/>
      <protection/>
    </xf>
    <xf numFmtId="0" fontId="37" fillId="0" borderId="43" xfId="54" applyFont="1" applyBorder="1">
      <alignment/>
      <protection/>
    </xf>
    <xf numFmtId="3" fontId="23" fillId="0" borderId="44" xfId="54" applyNumberFormat="1" applyBorder="1">
      <alignment/>
      <protection/>
    </xf>
    <xf numFmtId="0" fontId="1" fillId="0" borderId="49" xfId="55" applyFont="1" applyBorder="1">
      <alignment/>
      <protection/>
    </xf>
    <xf numFmtId="49" fontId="0" fillId="0" borderId="13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left" vertical="top" wrapText="1"/>
    </xf>
    <xf numFmtId="0" fontId="0" fillId="0" borderId="72" xfId="0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1" fillId="0" borderId="52" xfId="55" applyFont="1" applyBorder="1">
      <alignment/>
      <protection/>
    </xf>
    <xf numFmtId="3" fontId="4" fillId="0" borderId="3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1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2" fillId="0" borderId="29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9" fillId="0" borderId="38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2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5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3" fillId="22" borderId="11" xfId="0" applyFont="1" applyFill="1" applyBorder="1" applyAlignment="1">
      <alignment horizontal="left" vertical="top" wrapText="1"/>
    </xf>
    <xf numFmtId="0" fontId="3" fillId="22" borderId="23" xfId="0" applyFont="1" applyFill="1" applyBorder="1" applyAlignment="1">
      <alignment horizontal="left" vertical="top" wrapText="1"/>
    </xf>
    <xf numFmtId="0" fontId="3" fillId="22" borderId="14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11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17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3" fillId="22" borderId="11" xfId="0" applyFont="1" applyFill="1" applyBorder="1" applyAlignment="1">
      <alignment horizontal="left" vertical="center" wrapText="1"/>
    </xf>
    <xf numFmtId="0" fontId="3" fillId="22" borderId="23" xfId="0" applyFont="1" applyFill="1" applyBorder="1" applyAlignment="1">
      <alignment horizontal="left" vertical="center" wrapText="1"/>
    </xf>
    <xf numFmtId="0" fontId="3" fillId="22" borderId="1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20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2" fillId="0" borderId="35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0" xfId="54" applyNumberFormat="1" applyFont="1" applyAlignment="1">
      <alignment horizontal="center"/>
      <protection/>
    </xf>
    <xf numFmtId="0" fontId="24" fillId="0" borderId="0" xfId="54" applyFont="1" applyAlignment="1">
      <alignment horizontal="center" vertical="justify"/>
      <protection/>
    </xf>
    <xf numFmtId="0" fontId="32" fillId="0" borderId="29" xfId="54" applyFont="1" applyBorder="1" applyAlignment="1">
      <alignment horizontal="right" vertical="justify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0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0" fillId="0" borderId="42" xfId="0" applyFont="1" applyBorder="1" applyAlignment="1">
      <alignment horizontal="center" wrapText="1"/>
    </xf>
    <xf numFmtId="0" fontId="30" fillId="0" borderId="43" xfId="0" applyFont="1" applyBorder="1" applyAlignment="1">
      <alignment horizontal="center" wrapText="1"/>
    </xf>
    <xf numFmtId="0" fontId="30" fillId="0" borderId="44" xfId="0" applyFont="1" applyBorder="1" applyAlignment="1">
      <alignment horizontal="center" wrapText="1"/>
    </xf>
    <xf numFmtId="0" fontId="46" fillId="0" borderId="34" xfId="59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5" fillId="0" borderId="0" xfId="58" applyFont="1" applyAlignment="1">
      <alignment horizontal="center" vertical="center"/>
      <protection/>
    </xf>
    <xf numFmtId="0" fontId="15" fillId="0" borderId="0" xfId="56" applyFont="1" applyFill="1" applyAlignment="1">
      <alignment horizont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0" borderId="79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vertical="center" shrinkToFit="1"/>
    </xf>
    <xf numFmtId="0" fontId="17" fillId="0" borderId="29" xfId="0" applyFont="1" applyFill="1" applyBorder="1" applyAlignment="1">
      <alignment horizontal="right" vertical="center" wrapText="1" shrinkToFit="1"/>
    </xf>
    <xf numFmtId="49" fontId="22" fillId="0" borderId="0" xfId="0" applyNumberFormat="1" applyFont="1" applyFill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vertical="center"/>
    </xf>
    <xf numFmtId="0" fontId="0" fillId="0" borderId="15" xfId="0" applyBorder="1" applyAlignment="1">
      <alignment/>
    </xf>
    <xf numFmtId="0" fontId="22" fillId="0" borderId="15" xfId="0" applyFont="1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83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6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79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83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42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86" xfId="0" applyBorder="1" applyAlignment="1">
      <alignment horizontal="left"/>
    </xf>
    <xf numFmtId="0" fontId="2" fillId="0" borderId="59" xfId="0" applyFont="1" applyBorder="1" applyAlignment="1">
      <alignment horizontal="left" vertical="top" wrapText="1"/>
    </xf>
    <xf numFmtId="0" fontId="2" fillId="0" borderId="77" xfId="0" applyFont="1" applyBorder="1" applyAlignment="1">
      <alignment horizontal="left" vertical="top" wrapText="1"/>
    </xf>
    <xf numFmtId="0" fontId="2" fillId="0" borderId="82" xfId="0" applyFont="1" applyBorder="1" applyAlignment="1">
      <alignment horizontal="left" vertical="top" wrapText="1"/>
    </xf>
    <xf numFmtId="0" fontId="48" fillId="0" borderId="0" xfId="55" applyFont="1" applyAlignment="1">
      <alignment horizontal="center"/>
      <protection/>
    </xf>
    <xf numFmtId="0" fontId="51" fillId="0" borderId="0" xfId="54" applyFont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_1 számú melléklet" xfId="56"/>
    <cellStyle name="Normál_9 számú melléklet" xfId="57"/>
    <cellStyle name="Normál_következő éveket terhelő2003" xfId="58"/>
    <cellStyle name="Normál_KVIREND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saj&#225;tos%20bev&#233;telek%20r&#233;szletez&#233;se%2015.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tols&#243;%20k&#246;lts&#233;gvet&#233;s\&#250;jc&#237;mrend-%203.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M&#369;k%20-%20Felh%20m&#233;rleg%201.a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M&#369;k%20-%20Felh%20m&#233;rleg%202.a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elemi%20bev&#233;telek\&#214;nkorm&#225;nyza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&#214;nkorm&#225;nyz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&#250;jc&#237;mrend-%203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&#250;jc&#237;mrend-%203.%20(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&#250;jc&#237;mrend-%203.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okumentumok\M&#243;ni\v&#233;glegeds%20el&#337;terjeszt&#233;s\ktgvet&#233;si%20rendelet%20t&#225;bl&#225;i\&#250;jc&#237;mrend-%203.%20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Bev&#233;telek1%20sz&#225;m&#250;%20mell&#233;klet-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tervezett%20kiad&#225;sai%201.b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&#225;tdolgozott%20int&#233;zm&#233;nyek\Kinizsi%20P&#225;l%20Gimn&#225;ziu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14">
          <cell r="G14">
            <v>12270</v>
          </cell>
        </row>
        <row r="24">
          <cell r="F24">
            <v>15245</v>
          </cell>
          <cell r="G24">
            <v>13706</v>
          </cell>
          <cell r="H24">
            <v>38005</v>
          </cell>
        </row>
        <row r="29">
          <cell r="F29">
            <v>3034</v>
          </cell>
          <cell r="G29">
            <v>3700</v>
          </cell>
          <cell r="H29">
            <v>9120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8"/>
      <sheetName val="9"/>
      <sheetName val="10"/>
    </sheetNames>
    <sheetDataSet>
      <sheetData sheetId="0">
        <row r="43">
          <cell r="O43">
            <v>725828.174</v>
          </cell>
        </row>
        <row r="44">
          <cell r="O44">
            <v>129809</v>
          </cell>
        </row>
        <row r="48">
          <cell r="O48">
            <v>114335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a sz.melléklet "/>
    </sheetNames>
    <sheetDataSet>
      <sheetData sheetId="0">
        <row r="13">
          <cell r="G13">
            <v>0</v>
          </cell>
        </row>
        <row r="26">
          <cell r="G2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a sz.melléklet "/>
    </sheetNames>
    <sheetDataSet>
      <sheetData sheetId="0">
        <row r="47">
          <cell r="G4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Salgóbánya"/>
      <sheetName val="óvodai étk"/>
      <sheetName val="háziorvosi"/>
      <sheetName val="iskolai étk."/>
      <sheetName val="16"/>
      <sheetName val="08"/>
      <sheetName val="változások bevétel"/>
    </sheetNames>
    <sheetDataSet>
      <sheetData sheetId="5">
        <row r="25">
          <cell r="E25">
            <v>707000</v>
          </cell>
        </row>
        <row r="26">
          <cell r="E26">
            <v>15205000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Salgóbánya"/>
      <sheetName val="óvodai étk"/>
      <sheetName val="háziorvosi"/>
      <sheetName val="iskolai étk."/>
      <sheetName val="16"/>
      <sheetName val="08"/>
      <sheetName val="változások bevétel"/>
    </sheetNames>
    <sheetDataSet>
      <sheetData sheetId="5">
        <row r="4">
          <cell r="E4">
            <v>49000032</v>
          </cell>
        </row>
        <row r="7">
          <cell r="E7">
            <v>26661163</v>
          </cell>
        </row>
        <row r="10">
          <cell r="E10">
            <v>154078231</v>
          </cell>
        </row>
        <row r="13">
          <cell r="E13">
            <v>18744117</v>
          </cell>
        </row>
        <row r="16">
          <cell r="E16">
            <v>102086998</v>
          </cell>
        </row>
        <row r="21">
          <cell r="E21">
            <v>6950000</v>
          </cell>
        </row>
      </sheetData>
      <sheetData sheetId="6">
        <row r="15">
          <cell r="C15">
            <v>10000000</v>
          </cell>
        </row>
        <row r="24">
          <cell r="C24">
            <v>104335000</v>
          </cell>
        </row>
        <row r="28">
          <cell r="C28">
            <v>10000000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8"/>
      <sheetName val="9"/>
      <sheetName val="10"/>
    </sheetNames>
    <sheetDataSet>
      <sheetData sheetId="0">
        <row r="26">
          <cell r="C26">
            <v>0</v>
          </cell>
        </row>
        <row r="27">
          <cell r="O27">
            <v>833206</v>
          </cell>
        </row>
        <row r="31">
          <cell r="O31">
            <v>0</v>
          </cell>
        </row>
        <row r="36">
          <cell r="I36">
            <v>13380</v>
          </cell>
          <cell r="O36">
            <v>13380</v>
          </cell>
        </row>
        <row r="44">
          <cell r="C44">
            <v>129809</v>
          </cell>
        </row>
        <row r="45">
          <cell r="O45">
            <v>0</v>
          </cell>
        </row>
        <row r="46">
          <cell r="C46">
            <v>0</v>
          </cell>
        </row>
        <row r="49">
          <cell r="O49">
            <v>0</v>
          </cell>
        </row>
        <row r="50">
          <cell r="O50">
            <v>0</v>
          </cell>
        </row>
      </sheetData>
      <sheetData sheetId="1">
        <row r="56">
          <cell r="F5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8"/>
      <sheetName val="9"/>
      <sheetName val="10"/>
    </sheetNames>
    <sheetDataSet>
      <sheetData sheetId="0">
        <row r="10">
          <cell r="C10">
            <v>651994.055</v>
          </cell>
          <cell r="F10">
            <v>204010.018</v>
          </cell>
        </row>
        <row r="11">
          <cell r="F11">
            <v>54242.76486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8"/>
      <sheetName val="9"/>
      <sheetName val="10"/>
    </sheetNames>
    <sheetDataSet>
      <sheetData sheetId="0">
        <row r="10">
          <cell r="I10">
            <v>3694</v>
          </cell>
        </row>
        <row r="11">
          <cell r="I11">
            <v>919</v>
          </cell>
        </row>
        <row r="12">
          <cell r="F12">
            <v>62950.9</v>
          </cell>
          <cell r="I12">
            <v>360189.232268</v>
          </cell>
        </row>
        <row r="13">
          <cell r="I13">
            <v>25000</v>
          </cell>
        </row>
        <row r="15">
          <cell r="I15">
            <v>5000</v>
          </cell>
        </row>
        <row r="16">
          <cell r="I16">
            <v>55782</v>
          </cell>
        </row>
      </sheetData>
      <sheetData sheetId="3">
        <row r="10">
          <cell r="L10">
            <v>166615515.23</v>
          </cell>
        </row>
        <row r="11">
          <cell r="L11">
            <v>277031852.38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8"/>
      <sheetName val="9"/>
      <sheetName val="10"/>
    </sheetNames>
    <sheetDataSet>
      <sheetData sheetId="3">
        <row r="14">
          <cell r="L14">
            <v>1092000</v>
          </cell>
        </row>
        <row r="16">
          <cell r="L16">
            <v>10992000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8"/>
      <sheetName val="9"/>
      <sheetName val="10"/>
    </sheetNames>
    <sheetDataSet>
      <sheetData sheetId="0">
        <row r="18">
          <cell r="M18">
            <v>0</v>
          </cell>
        </row>
        <row r="35">
          <cell r="G35">
            <v>0</v>
          </cell>
          <cell r="I35">
            <v>843206</v>
          </cell>
          <cell r="K35">
            <v>0</v>
          </cell>
        </row>
        <row r="42">
          <cell r="M4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</sheetNames>
    <sheetDataSet>
      <sheetData sheetId="0">
        <row r="26">
          <cell r="J2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inizsi Összes"/>
      <sheetName val="Gimnázium"/>
      <sheetName val="Szakközépiskola"/>
      <sheetName val="önkormányzati tám"/>
    </sheetNames>
    <sheetDataSet>
      <sheetData sheetId="3">
        <row r="12">
          <cell r="C12">
            <v>87947260.45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25">
      <selection activeCell="Q33" sqref="Q33"/>
    </sheetView>
  </sheetViews>
  <sheetFormatPr defaultColWidth="9.00390625" defaultRowHeight="12.75"/>
  <cols>
    <col min="1" max="1" width="2.875" style="4" customWidth="1"/>
    <col min="2" max="2" width="3.125" style="2" customWidth="1"/>
    <col min="3" max="5" width="9.125" style="2" customWidth="1"/>
    <col min="6" max="6" width="10.75390625" style="2" customWidth="1"/>
    <col min="7" max="7" width="8.125" style="2" customWidth="1"/>
    <col min="8" max="8" width="8.75390625" style="2" bestFit="1" customWidth="1"/>
    <col min="9" max="9" width="9.375" style="2" bestFit="1" customWidth="1"/>
    <col min="10" max="10" width="6.875" style="2" bestFit="1" customWidth="1"/>
    <col min="11" max="11" width="10.125" style="2" customWidth="1"/>
    <col min="12" max="12" width="8.75390625" style="2" bestFit="1" customWidth="1"/>
    <col min="13" max="13" width="9.375" style="2" bestFit="1" customWidth="1"/>
    <col min="14" max="14" width="8.75390625" style="2" bestFit="1" customWidth="1"/>
    <col min="15" max="16384" width="9.125" style="2" customWidth="1"/>
  </cols>
  <sheetData>
    <row r="1" spans="1:14" s="3" customFormat="1" ht="15.75" customHeight="1">
      <c r="A1" s="892" t="s">
        <v>683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</row>
    <row r="2" spans="1:14" s="3" customFormat="1" ht="9" customHeight="1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</row>
    <row r="3" spans="1:15" ht="13.5" customHeight="1" thickBot="1">
      <c r="A3" s="2"/>
      <c r="B3" s="6"/>
      <c r="K3" s="895" t="s">
        <v>51</v>
      </c>
      <c r="L3" s="895"/>
      <c r="N3" s="893"/>
      <c r="O3" s="894"/>
    </row>
    <row r="4" spans="1:15" s="1" customFormat="1" ht="51" customHeight="1" thickBot="1">
      <c r="A4" s="902" t="s">
        <v>0</v>
      </c>
      <c r="B4" s="906"/>
      <c r="C4" s="906"/>
      <c r="D4" s="906"/>
      <c r="E4" s="906"/>
      <c r="F4" s="903"/>
      <c r="G4" s="902" t="s">
        <v>72</v>
      </c>
      <c r="H4" s="903"/>
      <c r="I4" s="904" t="s">
        <v>73</v>
      </c>
      <c r="J4" s="905"/>
      <c r="K4" s="902" t="s">
        <v>74</v>
      </c>
      <c r="L4" s="903"/>
      <c r="M4" s="868" t="s">
        <v>50</v>
      </c>
      <c r="N4" s="869"/>
      <c r="O4" s="75"/>
    </row>
    <row r="5" spans="1:14" s="1" customFormat="1" ht="24" customHeight="1" thickBot="1">
      <c r="A5" s="907"/>
      <c r="B5" s="908"/>
      <c r="C5" s="908"/>
      <c r="D5" s="908"/>
      <c r="E5" s="908"/>
      <c r="F5" s="909"/>
      <c r="G5" s="7" t="s">
        <v>53</v>
      </c>
      <c r="H5" s="7" t="s">
        <v>52</v>
      </c>
      <c r="I5" s="7" t="s">
        <v>53</v>
      </c>
      <c r="J5" s="7" t="s">
        <v>52</v>
      </c>
      <c r="K5" s="7" t="s">
        <v>53</v>
      </c>
      <c r="L5" s="7" t="s">
        <v>52</v>
      </c>
      <c r="M5" s="8" t="s">
        <v>53</v>
      </c>
      <c r="N5" s="9" t="s">
        <v>52</v>
      </c>
    </row>
    <row r="6" spans="1:14" ht="13.5" thickBot="1">
      <c r="A6" s="897">
        <v>1</v>
      </c>
      <c r="B6" s="898"/>
      <c r="C6" s="898"/>
      <c r="D6" s="898"/>
      <c r="E6" s="898"/>
      <c r="F6" s="874"/>
      <c r="G6" s="11">
        <v>2</v>
      </c>
      <c r="H6" s="76">
        <v>3</v>
      </c>
      <c r="I6" s="77">
        <v>4</v>
      </c>
      <c r="J6" s="11">
        <v>5</v>
      </c>
      <c r="K6" s="74">
        <v>6</v>
      </c>
      <c r="L6" s="11">
        <v>7</v>
      </c>
      <c r="M6" s="10">
        <v>8</v>
      </c>
      <c r="N6" s="11">
        <v>9</v>
      </c>
    </row>
    <row r="7" spans="1:14" s="3" customFormat="1" ht="16.5" customHeight="1" thickBot="1">
      <c r="A7" s="12"/>
      <c r="B7" s="50" t="s">
        <v>6</v>
      </c>
      <c r="C7" s="890" t="s">
        <v>1</v>
      </c>
      <c r="D7" s="890"/>
      <c r="E7" s="890"/>
      <c r="F7" s="890"/>
      <c r="G7" s="13">
        <f>SUM(G8:G11)</f>
        <v>18279</v>
      </c>
      <c r="H7" s="14">
        <f>SUM(H8:H11)</f>
        <v>0</v>
      </c>
      <c r="I7" s="13">
        <f>SUM(I8:I11)</f>
        <v>29676</v>
      </c>
      <c r="J7" s="15">
        <f>SUM(J8:J11)</f>
        <v>0</v>
      </c>
      <c r="K7" s="13">
        <f>SUM(K8:K10)</f>
        <v>47125</v>
      </c>
      <c r="L7" s="67"/>
      <c r="M7" s="14">
        <f>SUM(M8:M11)</f>
        <v>95080</v>
      </c>
      <c r="N7" s="13">
        <f>SUM(N8:N11)</f>
        <v>0</v>
      </c>
    </row>
    <row r="8" spans="1:14" ht="16.5" customHeight="1">
      <c r="A8" s="16"/>
      <c r="B8" s="51"/>
      <c r="C8" s="875" t="s">
        <v>18</v>
      </c>
      <c r="D8" s="875"/>
      <c r="E8" s="875"/>
      <c r="F8" s="875"/>
      <c r="G8" s="17"/>
      <c r="H8" s="18"/>
      <c r="I8" s="19">
        <f>'[1]Munka1'!$G$14</f>
        <v>12270</v>
      </c>
      <c r="J8" s="19"/>
      <c r="K8" s="68"/>
      <c r="L8" s="68"/>
      <c r="M8" s="18">
        <f>G8+I8+K8</f>
        <v>12270</v>
      </c>
      <c r="N8" s="20"/>
    </row>
    <row r="9" spans="1:14" ht="16.5" customHeight="1">
      <c r="A9" s="16"/>
      <c r="B9" s="52"/>
      <c r="C9" s="896" t="s">
        <v>19</v>
      </c>
      <c r="D9" s="896"/>
      <c r="E9" s="896"/>
      <c r="F9" s="896"/>
      <c r="G9" s="21">
        <f>'[1]Munka1'!$F$24</f>
        <v>15245</v>
      </c>
      <c r="H9" s="22"/>
      <c r="I9" s="21">
        <f>'[1]Munka1'!$G$24</f>
        <v>13706</v>
      </c>
      <c r="J9" s="23"/>
      <c r="K9" s="21">
        <f>'[1]Munka1'!$H$24</f>
        <v>38005</v>
      </c>
      <c r="L9" s="69"/>
      <c r="M9" s="18">
        <f>G9+I9+K9</f>
        <v>66956</v>
      </c>
      <c r="N9" s="21"/>
    </row>
    <row r="10" spans="1:14" ht="16.5" customHeight="1">
      <c r="A10" s="16"/>
      <c r="B10" s="53"/>
      <c r="C10" s="896" t="s">
        <v>20</v>
      </c>
      <c r="D10" s="896"/>
      <c r="E10" s="896"/>
      <c r="F10" s="896"/>
      <c r="G10" s="17">
        <f>'[1]Munka1'!$F$29</f>
        <v>3034</v>
      </c>
      <c r="H10" s="18"/>
      <c r="I10" s="19">
        <f>'[1]Munka1'!$G$29</f>
        <v>3700</v>
      </c>
      <c r="J10" s="19"/>
      <c r="K10" s="21">
        <f>'[1]Munka1'!$H$29</f>
        <v>9120</v>
      </c>
      <c r="L10" s="69"/>
      <c r="M10" s="18">
        <f>G10+I10+K10</f>
        <v>15854</v>
      </c>
      <c r="N10" s="21"/>
    </row>
    <row r="11" spans="1:14" ht="16.5" customHeight="1" thickBot="1">
      <c r="A11" s="16"/>
      <c r="B11" s="54"/>
      <c r="C11" s="870" t="s">
        <v>21</v>
      </c>
      <c r="D11" s="870"/>
      <c r="E11" s="870"/>
      <c r="F11" s="870"/>
      <c r="G11" s="24"/>
      <c r="H11" s="25"/>
      <c r="I11" s="26"/>
      <c r="J11" s="26"/>
      <c r="K11" s="70"/>
      <c r="L11" s="70"/>
      <c r="M11" s="18">
        <f>G11+I11+K11</f>
        <v>0</v>
      </c>
      <c r="N11" s="24"/>
    </row>
    <row r="12" spans="1:18" ht="27.75" customHeight="1" thickBot="1">
      <c r="A12" s="16"/>
      <c r="B12" s="55" t="s">
        <v>7</v>
      </c>
      <c r="C12" s="871" t="s">
        <v>743</v>
      </c>
      <c r="D12" s="871"/>
      <c r="E12" s="871"/>
      <c r="F12" s="872"/>
      <c r="G12" s="13">
        <f>SUM(G13:G15)</f>
        <v>0</v>
      </c>
      <c r="H12" s="14">
        <f>SUM(H13:H15)</f>
        <v>0</v>
      </c>
      <c r="I12" s="13">
        <f>SUM(I13:I15)</f>
        <v>0</v>
      </c>
      <c r="J12" s="15">
        <f>SUM(J13:J15)</f>
        <v>0</v>
      </c>
      <c r="K12" s="93">
        <f>K13+K14+K15</f>
        <v>899394.541</v>
      </c>
      <c r="L12" s="71"/>
      <c r="M12" s="14">
        <f>SUM(M13:M15)</f>
        <v>899394.541</v>
      </c>
      <c r="N12" s="13">
        <f>SUM(N13:N15)</f>
        <v>0</v>
      </c>
      <c r="R12" s="5"/>
    </row>
    <row r="13" spans="1:18" ht="16.5" customHeight="1">
      <c r="A13" s="16"/>
      <c r="B13" s="56"/>
      <c r="C13" s="873" t="s">
        <v>9</v>
      </c>
      <c r="D13" s="873"/>
      <c r="E13" s="873"/>
      <c r="F13" s="873"/>
      <c r="G13" s="17"/>
      <c r="H13" s="18"/>
      <c r="I13" s="19"/>
      <c r="J13" s="19"/>
      <c r="K13" s="17">
        <f>'sajátos 15'!H38</f>
        <v>229739.426</v>
      </c>
      <c r="L13" s="68"/>
      <c r="M13" s="18">
        <f aca="true" t="shared" si="0" ref="M13:M19">G13+I13+K13</f>
        <v>229739.426</v>
      </c>
      <c r="N13" s="24"/>
      <c r="R13" s="5"/>
    </row>
    <row r="14" spans="1:18" ht="16.5" customHeight="1">
      <c r="A14" s="16"/>
      <c r="B14" s="57"/>
      <c r="C14" s="896" t="s">
        <v>10</v>
      </c>
      <c r="D14" s="896"/>
      <c r="E14" s="896"/>
      <c r="F14" s="896"/>
      <c r="G14" s="17"/>
      <c r="H14" s="18"/>
      <c r="I14" s="19"/>
      <c r="J14" s="19"/>
      <c r="K14" s="21">
        <f>'sajátos 15'!H44</f>
        <v>628048.998</v>
      </c>
      <c r="L14" s="69"/>
      <c r="M14" s="18">
        <f t="shared" si="0"/>
        <v>628048.998</v>
      </c>
      <c r="N14" s="21"/>
      <c r="R14" s="5"/>
    </row>
    <row r="15" spans="1:14" ht="16.5" customHeight="1" thickBot="1">
      <c r="A15" s="16"/>
      <c r="B15" s="58"/>
      <c r="C15" s="870" t="s">
        <v>22</v>
      </c>
      <c r="D15" s="870"/>
      <c r="E15" s="870"/>
      <c r="F15" s="870"/>
      <c r="G15" s="24"/>
      <c r="H15" s="25"/>
      <c r="I15" s="26"/>
      <c r="J15" s="26"/>
      <c r="K15" s="36">
        <f>'sajátos 15'!H48</f>
        <v>41606.117</v>
      </c>
      <c r="L15" s="70"/>
      <c r="M15" s="18">
        <f t="shared" si="0"/>
        <v>41606.117</v>
      </c>
      <c r="N15" s="24"/>
    </row>
    <row r="16" spans="1:14" s="3" customFormat="1" ht="28.5" customHeight="1" thickBot="1">
      <c r="A16" s="12"/>
      <c r="B16" s="50" t="s">
        <v>8</v>
      </c>
      <c r="C16" s="871" t="s">
        <v>744</v>
      </c>
      <c r="D16" s="871"/>
      <c r="E16" s="871"/>
      <c r="F16" s="872"/>
      <c r="G16" s="13">
        <f>SUM(G17:G19)</f>
        <v>0</v>
      </c>
      <c r="H16" s="14">
        <f>SUM(H17:H19)</f>
        <v>0</v>
      </c>
      <c r="I16" s="13">
        <f>SUM(I17:I19)</f>
        <v>0</v>
      </c>
      <c r="J16" s="15">
        <f>SUM(J17:J19)</f>
        <v>0</v>
      </c>
      <c r="K16" s="13">
        <f>SUM(K17:K19)</f>
        <v>725827</v>
      </c>
      <c r="L16" s="67"/>
      <c r="M16" s="14">
        <f t="shared" si="0"/>
        <v>725827</v>
      </c>
      <c r="N16" s="13">
        <f>SUM(N17:N19)</f>
        <v>0</v>
      </c>
    </row>
    <row r="17" spans="1:14" ht="16.5" customHeight="1">
      <c r="A17" s="16"/>
      <c r="B17" s="59"/>
      <c r="C17" s="873" t="s">
        <v>11</v>
      </c>
      <c r="D17" s="873"/>
      <c r="E17" s="873"/>
      <c r="F17" s="873"/>
      <c r="G17" s="17"/>
      <c r="H17" s="18"/>
      <c r="I17" s="19"/>
      <c r="J17" s="19"/>
      <c r="K17" s="68">
        <v>646788</v>
      </c>
      <c r="L17" s="68"/>
      <c r="M17" s="18">
        <f t="shared" si="0"/>
        <v>646788</v>
      </c>
      <c r="N17" s="24"/>
    </row>
    <row r="18" spans="1:14" ht="16.5" customHeight="1">
      <c r="A18" s="16"/>
      <c r="B18" s="60"/>
      <c r="C18" s="896" t="s">
        <v>12</v>
      </c>
      <c r="D18" s="896"/>
      <c r="E18" s="896"/>
      <c r="F18" s="896"/>
      <c r="G18" s="17"/>
      <c r="H18" s="18"/>
      <c r="I18" s="19">
        <v>0</v>
      </c>
      <c r="J18" s="19"/>
      <c r="K18" s="21"/>
      <c r="L18" s="69"/>
      <c r="M18" s="18">
        <f t="shared" si="0"/>
        <v>0</v>
      </c>
      <c r="N18" s="21"/>
    </row>
    <row r="19" spans="1:14" ht="16.5" customHeight="1" thickBot="1">
      <c r="A19" s="16"/>
      <c r="B19" s="61"/>
      <c r="C19" s="896" t="s">
        <v>16</v>
      </c>
      <c r="D19" s="896"/>
      <c r="E19" s="896"/>
      <c r="F19" s="896"/>
      <c r="G19" s="24"/>
      <c r="H19" s="25"/>
      <c r="I19" s="26">
        <v>0</v>
      </c>
      <c r="J19" s="26"/>
      <c r="K19" s="70">
        <v>79039</v>
      </c>
      <c r="L19" s="70"/>
      <c r="M19" s="18">
        <f t="shared" si="0"/>
        <v>79039</v>
      </c>
      <c r="N19" s="27"/>
    </row>
    <row r="20" spans="1:14" s="3" customFormat="1" ht="16.5" customHeight="1" thickBot="1">
      <c r="A20" s="12"/>
      <c r="B20" s="50" t="s">
        <v>40</v>
      </c>
      <c r="C20" s="890" t="s">
        <v>745</v>
      </c>
      <c r="D20" s="890"/>
      <c r="E20" s="890"/>
      <c r="F20" s="890"/>
      <c r="G20" s="13">
        <f>SUM(G21:G23)</f>
        <v>0</v>
      </c>
      <c r="H20" s="14">
        <f>SUM(H21:H23)</f>
        <v>0</v>
      </c>
      <c r="I20" s="13">
        <f>SUM(I21:I23)</f>
        <v>0</v>
      </c>
      <c r="J20" s="15">
        <f>SUM(J21:J23)</f>
        <v>0</v>
      </c>
      <c r="K20" s="13">
        <f>SUM(K21:K23)</f>
        <v>114335</v>
      </c>
      <c r="L20" s="67"/>
      <c r="M20" s="28">
        <f>SUM(M21:M23)</f>
        <v>114335</v>
      </c>
      <c r="N20" s="13">
        <f>SUM(N21:N23)</f>
        <v>0</v>
      </c>
    </row>
    <row r="21" spans="1:14" ht="16.5" customHeight="1">
      <c r="A21" s="16"/>
      <c r="B21" s="51"/>
      <c r="C21" s="875" t="s">
        <v>23</v>
      </c>
      <c r="D21" s="875"/>
      <c r="E21" s="875"/>
      <c r="F21" s="875"/>
      <c r="G21" s="17"/>
      <c r="H21" s="18"/>
      <c r="I21" s="19"/>
      <c r="J21" s="19"/>
      <c r="K21" s="19">
        <f>'[2]08'!$C$15/1000</f>
        <v>10000</v>
      </c>
      <c r="L21" s="68"/>
      <c r="M21" s="18">
        <f>G21+I21+K21</f>
        <v>10000</v>
      </c>
      <c r="N21" s="20"/>
    </row>
    <row r="22" spans="1:14" ht="16.5" customHeight="1">
      <c r="A22" s="16"/>
      <c r="B22" s="52"/>
      <c r="C22" s="896" t="s">
        <v>14</v>
      </c>
      <c r="D22" s="896"/>
      <c r="E22" s="896"/>
      <c r="F22" s="896"/>
      <c r="G22" s="17"/>
      <c r="H22" s="18"/>
      <c r="I22" s="19"/>
      <c r="J22" s="19"/>
      <c r="K22" s="19">
        <f>'[2]08'!$C$24/1000</f>
        <v>104335</v>
      </c>
      <c r="L22" s="69"/>
      <c r="M22" s="18">
        <f>G22+I22+K22</f>
        <v>104335</v>
      </c>
      <c r="N22" s="21"/>
    </row>
    <row r="23" spans="1:14" ht="16.5" customHeight="1" thickBot="1">
      <c r="A23" s="16"/>
      <c r="B23" s="58"/>
      <c r="C23" s="896" t="s">
        <v>13</v>
      </c>
      <c r="D23" s="896"/>
      <c r="E23" s="896"/>
      <c r="F23" s="896"/>
      <c r="G23" s="24"/>
      <c r="H23" s="25"/>
      <c r="I23" s="26">
        <v>0</v>
      </c>
      <c r="J23" s="26"/>
      <c r="K23" s="70"/>
      <c r="L23" s="70"/>
      <c r="M23" s="18">
        <f>G23+I23+K23</f>
        <v>0</v>
      </c>
      <c r="N23" s="27"/>
    </row>
    <row r="24" spans="1:14" s="3" customFormat="1" ht="16.5" customHeight="1" thickBot="1">
      <c r="A24" s="12"/>
      <c r="B24" s="50" t="s">
        <v>17</v>
      </c>
      <c r="C24" s="890" t="s">
        <v>41</v>
      </c>
      <c r="D24" s="890"/>
      <c r="E24" s="890"/>
      <c r="F24" s="890"/>
      <c r="G24" s="13">
        <f>SUM(G25+G26+G27)</f>
        <v>129809</v>
      </c>
      <c r="H24" s="14">
        <f>SUM(H25+H26+H27)</f>
        <v>0</v>
      </c>
      <c r="I24" s="13">
        <f>SUM(I25+I26+I27)</f>
        <v>0</v>
      </c>
      <c r="J24" s="15">
        <f>SUM(J25+J26+J27)</f>
        <v>0</v>
      </c>
      <c r="K24" s="15">
        <f>SUM(K25+K26+K27)</f>
        <v>0</v>
      </c>
      <c r="L24" s="67"/>
      <c r="M24" s="14">
        <f>SUM(M25+M26+M27)</f>
        <v>129809</v>
      </c>
      <c r="N24" s="13">
        <f>SUM(N25+N26+N27)</f>
        <v>0</v>
      </c>
    </row>
    <row r="25" spans="1:14" ht="16.5" customHeight="1">
      <c r="A25" s="16"/>
      <c r="B25" s="51"/>
      <c r="C25" s="875" t="s">
        <v>24</v>
      </c>
      <c r="D25" s="875"/>
      <c r="E25" s="875"/>
      <c r="F25" s="875"/>
      <c r="G25" s="29">
        <f>'[3]1'!$C$44</f>
        <v>129809</v>
      </c>
      <c r="H25" s="18"/>
      <c r="I25" s="19"/>
      <c r="J25" s="19"/>
      <c r="K25" s="29"/>
      <c r="L25" s="68"/>
      <c r="M25" s="18">
        <f>G25+I25+K25</f>
        <v>129809</v>
      </c>
      <c r="N25" s="20"/>
    </row>
    <row r="26" spans="1:14" ht="16.5" customHeight="1">
      <c r="A26" s="16"/>
      <c r="B26" s="52"/>
      <c r="C26" s="896" t="s">
        <v>25</v>
      </c>
      <c r="D26" s="896"/>
      <c r="E26" s="896"/>
      <c r="F26" s="896"/>
      <c r="G26" s="17"/>
      <c r="H26" s="18"/>
      <c r="I26" s="19">
        <f>'[3]1'!$O$45</f>
        <v>0</v>
      </c>
      <c r="J26" s="19"/>
      <c r="K26" s="69"/>
      <c r="L26" s="69"/>
      <c r="M26" s="18">
        <f>G26+I26+K26</f>
        <v>0</v>
      </c>
      <c r="N26" s="21"/>
    </row>
    <row r="27" spans="1:14" ht="16.5" customHeight="1" thickBot="1">
      <c r="A27" s="16"/>
      <c r="B27" s="58"/>
      <c r="C27" s="861" t="s">
        <v>26</v>
      </c>
      <c r="D27" s="861"/>
      <c r="E27" s="861"/>
      <c r="F27" s="861"/>
      <c r="G27" s="30"/>
      <c r="H27" s="31"/>
      <c r="I27" s="32">
        <v>0</v>
      </c>
      <c r="J27" s="32"/>
      <c r="K27" s="70"/>
      <c r="L27" s="70"/>
      <c r="M27" s="18">
        <f>G27+I27+K27</f>
        <v>0</v>
      </c>
      <c r="N27" s="27"/>
    </row>
    <row r="28" spans="1:14" ht="24" customHeight="1" thickBot="1">
      <c r="A28" s="16"/>
      <c r="B28" s="50" t="s">
        <v>31</v>
      </c>
      <c r="C28" s="871" t="s">
        <v>30</v>
      </c>
      <c r="D28" s="871"/>
      <c r="E28" s="871"/>
      <c r="F28" s="871"/>
      <c r="G28" s="13">
        <f>SUM(G29:G30)</f>
        <v>0</v>
      </c>
      <c r="H28" s="14">
        <f>SUM(H29:H30)</f>
        <v>0</v>
      </c>
      <c r="I28" s="13">
        <f>SUM(I29:I30)</f>
        <v>0</v>
      </c>
      <c r="J28" s="15">
        <f>SUM(J29:J30)</f>
        <v>0</v>
      </c>
      <c r="K28" s="846">
        <f>K29+K30</f>
        <v>10000</v>
      </c>
      <c r="L28" s="71"/>
      <c r="M28" s="14">
        <f>SUM(M29:M30)</f>
        <v>10000</v>
      </c>
      <c r="N28" s="13">
        <f>SUM(N29:N30)</f>
        <v>0</v>
      </c>
    </row>
    <row r="29" spans="1:14" ht="16.5" customHeight="1">
      <c r="A29" s="16"/>
      <c r="B29" s="51"/>
      <c r="C29" s="875" t="s">
        <v>28</v>
      </c>
      <c r="D29" s="875"/>
      <c r="E29" s="875"/>
      <c r="F29" s="875"/>
      <c r="G29" s="29"/>
      <c r="H29" s="33"/>
      <c r="I29" s="19">
        <f>'[3]1'!$C$46+'[3]1'!$F$46</f>
        <v>0</v>
      </c>
      <c r="J29" s="19"/>
      <c r="K29" s="17"/>
      <c r="L29" s="68"/>
      <c r="M29" s="18">
        <f>G29+I29+K29</f>
        <v>0</v>
      </c>
      <c r="N29" s="20"/>
    </row>
    <row r="30" spans="1:14" ht="16.5" customHeight="1" thickBot="1">
      <c r="A30" s="16"/>
      <c r="B30" s="62"/>
      <c r="C30" s="861" t="s">
        <v>29</v>
      </c>
      <c r="D30" s="861"/>
      <c r="E30" s="861"/>
      <c r="F30" s="861"/>
      <c r="G30" s="27"/>
      <c r="H30" s="34"/>
      <c r="I30" s="35">
        <v>0</v>
      </c>
      <c r="J30" s="26"/>
      <c r="K30" s="36">
        <f>'[2]08'!$C$28/1000</f>
        <v>10000</v>
      </c>
      <c r="L30" s="70"/>
      <c r="M30" s="18">
        <f>G30+I30+K30</f>
        <v>10000</v>
      </c>
      <c r="N30" s="30"/>
    </row>
    <row r="31" spans="1:14" s="3" customFormat="1" ht="28.5" customHeight="1" thickBot="1">
      <c r="A31" s="12"/>
      <c r="B31" s="50" t="s">
        <v>32</v>
      </c>
      <c r="C31" s="871" t="s">
        <v>35</v>
      </c>
      <c r="D31" s="871"/>
      <c r="E31" s="871"/>
      <c r="F31" s="871"/>
      <c r="G31" s="13">
        <f>SUM(G32:G33)</f>
        <v>0</v>
      </c>
      <c r="H31" s="14">
        <f>SUM(H32:H33)</f>
        <v>0</v>
      </c>
      <c r="I31" s="13">
        <f>SUM(I32:I33)</f>
        <v>0</v>
      </c>
      <c r="J31" s="15">
        <f>SUM(J32:J33)</f>
        <v>0</v>
      </c>
      <c r="K31" s="67"/>
      <c r="L31" s="67"/>
      <c r="M31" s="14">
        <f>SUM(M32:M33)</f>
        <v>0</v>
      </c>
      <c r="N31" s="13">
        <f>SUM(N32:N33)</f>
        <v>0</v>
      </c>
    </row>
    <row r="32" spans="1:14" ht="16.5" customHeight="1">
      <c r="A32" s="16"/>
      <c r="B32" s="51"/>
      <c r="C32" s="875" t="s">
        <v>15</v>
      </c>
      <c r="D32" s="875"/>
      <c r="E32" s="875"/>
      <c r="F32" s="875"/>
      <c r="G32" s="29"/>
      <c r="H32" s="33"/>
      <c r="I32" s="78">
        <f>'[3]1'!$O$50</f>
        <v>0</v>
      </c>
      <c r="J32" s="19"/>
      <c r="K32" s="68"/>
      <c r="L32" s="68"/>
      <c r="M32" s="29">
        <f>G32+I32+K32</f>
        <v>0</v>
      </c>
      <c r="N32" s="20"/>
    </row>
    <row r="33" spans="1:14" ht="16.5" customHeight="1" thickBot="1">
      <c r="A33" s="16"/>
      <c r="B33" s="63"/>
      <c r="C33" s="861" t="s">
        <v>27</v>
      </c>
      <c r="D33" s="861"/>
      <c r="E33" s="861"/>
      <c r="F33" s="861"/>
      <c r="G33" s="36"/>
      <c r="H33" s="31"/>
      <c r="I33" s="32"/>
      <c r="J33" s="32"/>
      <c r="K33" s="70"/>
      <c r="L33" s="70"/>
      <c r="M33" s="18">
        <f>G33+I33+K33</f>
        <v>0</v>
      </c>
      <c r="N33" s="36"/>
    </row>
    <row r="34" spans="1:14" s="3" customFormat="1" ht="16.5" customHeight="1" thickBot="1">
      <c r="A34" s="12"/>
      <c r="B34" s="64" t="s">
        <v>33</v>
      </c>
      <c r="C34" s="890" t="s">
        <v>42</v>
      </c>
      <c r="D34" s="890"/>
      <c r="E34" s="890"/>
      <c r="F34" s="890"/>
      <c r="G34" s="13"/>
      <c r="H34" s="13"/>
      <c r="I34" s="13"/>
      <c r="J34" s="15"/>
      <c r="K34" s="67"/>
      <c r="L34" s="67"/>
      <c r="M34" s="37">
        <f>G34+I34</f>
        <v>0</v>
      </c>
      <c r="N34" s="14"/>
    </row>
    <row r="35" spans="1:16" ht="16.5" customHeight="1" thickBot="1">
      <c r="A35" s="38" t="s">
        <v>43</v>
      </c>
      <c r="B35" s="864" t="s">
        <v>44</v>
      </c>
      <c r="C35" s="865"/>
      <c r="D35" s="865"/>
      <c r="E35" s="865"/>
      <c r="F35" s="865"/>
      <c r="G35" s="39">
        <f aca="true" t="shared" si="1" ref="G35:M35">G7+G12+G16+G20+G24+G28+G31+G34</f>
        <v>148088</v>
      </c>
      <c r="H35" s="40">
        <f t="shared" si="1"/>
        <v>0</v>
      </c>
      <c r="I35" s="39">
        <f>I7+I12+I16+I20+I24+I28+I31+I34</f>
        <v>29676</v>
      </c>
      <c r="J35" s="66">
        <f t="shared" si="1"/>
        <v>0</v>
      </c>
      <c r="K35" s="39">
        <f t="shared" si="1"/>
        <v>1796681.541</v>
      </c>
      <c r="L35" s="39">
        <f t="shared" si="1"/>
        <v>0</v>
      </c>
      <c r="M35" s="39">
        <f t="shared" si="1"/>
        <v>1974445.541</v>
      </c>
      <c r="N35" s="39">
        <f>N7+N12+N16+N20+N24+N28+N31+N34</f>
        <v>0</v>
      </c>
      <c r="O35" s="5"/>
      <c r="P35" s="5"/>
    </row>
    <row r="36" spans="1:14" ht="27.75" customHeight="1" thickBot="1">
      <c r="A36" s="12"/>
      <c r="B36" s="50" t="s">
        <v>34</v>
      </c>
      <c r="C36" s="871" t="s">
        <v>742</v>
      </c>
      <c r="D36" s="871"/>
      <c r="E36" s="871"/>
      <c r="F36" s="872"/>
      <c r="G36" s="13">
        <f aca="true" t="shared" si="2" ref="G36:L36">SUM(G37:G38)</f>
        <v>0</v>
      </c>
      <c r="H36" s="14">
        <f t="shared" si="2"/>
        <v>0</v>
      </c>
      <c r="I36" s="13">
        <f t="shared" si="2"/>
        <v>0</v>
      </c>
      <c r="J36" s="15">
        <f t="shared" si="2"/>
        <v>0</v>
      </c>
      <c r="K36" s="13">
        <f t="shared" si="2"/>
        <v>766653</v>
      </c>
      <c r="L36" s="13">
        <f t="shared" si="2"/>
        <v>0</v>
      </c>
      <c r="M36" s="14">
        <f>SUM(M37:M38)</f>
        <v>766653</v>
      </c>
      <c r="N36" s="13">
        <f>SUM(N37:N38)</f>
        <v>0</v>
      </c>
    </row>
    <row r="37" spans="1:14" s="3" customFormat="1" ht="24" customHeight="1">
      <c r="A37" s="12"/>
      <c r="B37" s="65"/>
      <c r="C37" s="862" t="s">
        <v>54</v>
      </c>
      <c r="D37" s="862"/>
      <c r="E37" s="862"/>
      <c r="F37" s="863"/>
      <c r="G37" s="29"/>
      <c r="H37" s="33"/>
      <c r="I37" s="19"/>
      <c r="J37" s="19"/>
      <c r="K37" s="120">
        <v>13541</v>
      </c>
      <c r="L37" s="72"/>
      <c r="M37" s="18">
        <v>13541</v>
      </c>
      <c r="N37" s="29"/>
    </row>
    <row r="38" spans="1:14" s="3" customFormat="1" ht="27.75" customHeight="1" thickBot="1">
      <c r="A38" s="16"/>
      <c r="B38" s="62"/>
      <c r="C38" s="866" t="s">
        <v>55</v>
      </c>
      <c r="D38" s="866"/>
      <c r="E38" s="866"/>
      <c r="F38" s="867"/>
      <c r="G38" s="30"/>
      <c r="H38" s="41"/>
      <c r="I38" s="79"/>
      <c r="J38" s="32"/>
      <c r="K38" s="845">
        <v>753112</v>
      </c>
      <c r="L38" s="73"/>
      <c r="M38" s="18">
        <f>K38</f>
        <v>753112</v>
      </c>
      <c r="N38" s="27"/>
    </row>
    <row r="39" spans="1:14" ht="29.25" customHeight="1" thickBot="1">
      <c r="A39" s="38" t="s">
        <v>45</v>
      </c>
      <c r="B39" s="856" t="s">
        <v>746</v>
      </c>
      <c r="C39" s="857"/>
      <c r="D39" s="857"/>
      <c r="E39" s="857"/>
      <c r="F39" s="858"/>
      <c r="G39" s="42">
        <f aca="true" t="shared" si="3" ref="G39:L39">SUM(G36)</f>
        <v>0</v>
      </c>
      <c r="H39" s="43">
        <f t="shared" si="3"/>
        <v>0</v>
      </c>
      <c r="I39" s="42">
        <f t="shared" si="3"/>
        <v>0</v>
      </c>
      <c r="J39" s="44">
        <f t="shared" si="3"/>
        <v>0</v>
      </c>
      <c r="K39" s="42">
        <f t="shared" si="3"/>
        <v>766653</v>
      </c>
      <c r="L39" s="42">
        <f t="shared" si="3"/>
        <v>0</v>
      </c>
      <c r="M39" s="43">
        <f>SUM(M36)</f>
        <v>766653</v>
      </c>
      <c r="N39" s="42">
        <f>SUM(N36)</f>
        <v>0</v>
      </c>
    </row>
    <row r="40" spans="1:14" s="3" customFormat="1" ht="16.5" customHeight="1" thickBot="1">
      <c r="A40" s="38" t="s">
        <v>5</v>
      </c>
      <c r="B40" s="859" t="s">
        <v>46</v>
      </c>
      <c r="C40" s="860"/>
      <c r="D40" s="860"/>
      <c r="E40" s="860"/>
      <c r="F40" s="860"/>
      <c r="G40" s="42">
        <f aca="true" t="shared" si="4" ref="G40:L40">SUM(G35,G39)</f>
        <v>148088</v>
      </c>
      <c r="H40" s="43">
        <f t="shared" si="4"/>
        <v>0</v>
      </c>
      <c r="I40" s="42">
        <f t="shared" si="4"/>
        <v>29676</v>
      </c>
      <c r="J40" s="44">
        <f t="shared" si="4"/>
        <v>0</v>
      </c>
      <c r="K40" s="42">
        <f t="shared" si="4"/>
        <v>2563334.541</v>
      </c>
      <c r="L40" s="42">
        <f t="shared" si="4"/>
        <v>0</v>
      </c>
      <c r="M40" s="43">
        <f>K40+I40+G40</f>
        <v>2741098.541</v>
      </c>
      <c r="N40" s="42">
        <f>SUM(N35,N39)</f>
        <v>0</v>
      </c>
    </row>
    <row r="41" spans="1:14" s="3" customFormat="1" ht="16.5" customHeight="1" thickBot="1">
      <c r="A41" s="101"/>
      <c r="B41" s="50" t="s">
        <v>36</v>
      </c>
      <c r="C41" s="890" t="s">
        <v>47</v>
      </c>
      <c r="D41" s="890"/>
      <c r="E41" s="890"/>
      <c r="F41" s="890"/>
      <c r="G41" s="13">
        <f>G42+G45</f>
        <v>0</v>
      </c>
      <c r="H41" s="14">
        <f>SUM(H43:H44)</f>
        <v>0</v>
      </c>
      <c r="I41" s="13">
        <f>SUM(I43:I44)</f>
        <v>0</v>
      </c>
      <c r="J41" s="15">
        <f>SUM(J43:J44)</f>
        <v>0</v>
      </c>
      <c r="K41" s="67"/>
      <c r="L41" s="67"/>
      <c r="M41" s="14">
        <f>SUM(M43:M44)</f>
        <v>0</v>
      </c>
      <c r="N41" s="13">
        <f>SUM(N43:N44)</f>
        <v>0</v>
      </c>
    </row>
    <row r="42" spans="1:14" s="3" customFormat="1" ht="16.5" customHeight="1" thickBot="1">
      <c r="A42" s="12"/>
      <c r="B42" s="64"/>
      <c r="C42" s="876" t="s">
        <v>56</v>
      </c>
      <c r="D42" s="876"/>
      <c r="E42" s="876"/>
      <c r="F42" s="877"/>
      <c r="G42" s="13">
        <f>SUM(G43:G44)</f>
        <v>0</v>
      </c>
      <c r="H42" s="13">
        <f aca="true" t="shared" si="5" ref="H42:N42">SUM(H43:H44)</f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13">
        <f t="shared" si="5"/>
        <v>0</v>
      </c>
      <c r="N42" s="13">
        <f t="shared" si="5"/>
        <v>0</v>
      </c>
    </row>
    <row r="43" spans="1:14" s="3" customFormat="1" ht="16.5" customHeight="1">
      <c r="A43" s="16"/>
      <c r="B43" s="81"/>
      <c r="C43" s="886" t="s">
        <v>57</v>
      </c>
      <c r="D43" s="886"/>
      <c r="E43" s="886"/>
      <c r="F43" s="887"/>
      <c r="G43" s="17"/>
      <c r="H43" s="18"/>
      <c r="I43" s="19"/>
      <c r="J43" s="19"/>
      <c r="K43" s="72"/>
      <c r="L43" s="72"/>
      <c r="M43" s="18"/>
      <c r="N43" s="24"/>
    </row>
    <row r="44" spans="1:14" s="3" customFormat="1" ht="16.5" customHeight="1" thickBot="1">
      <c r="A44" s="16"/>
      <c r="B44" s="63"/>
      <c r="C44" s="888" t="s">
        <v>58</v>
      </c>
      <c r="D44" s="855"/>
      <c r="E44" s="855"/>
      <c r="F44" s="852"/>
      <c r="G44" s="36"/>
      <c r="H44" s="31"/>
      <c r="I44" s="32"/>
      <c r="J44" s="32"/>
      <c r="K44" s="73"/>
      <c r="L44" s="73"/>
      <c r="M44" s="25"/>
      <c r="N44" s="36"/>
    </row>
    <row r="45" spans="1:14" s="3" customFormat="1" ht="16.5" customHeight="1" thickBot="1">
      <c r="A45" s="83"/>
      <c r="B45" s="84"/>
      <c r="C45" s="876" t="s">
        <v>59</v>
      </c>
      <c r="D45" s="876"/>
      <c r="E45" s="876"/>
      <c r="F45" s="877"/>
      <c r="G45" s="93">
        <f>G46+G47</f>
        <v>0</v>
      </c>
      <c r="H45" s="93">
        <f aca="true" t="shared" si="6" ref="H45:N45">H46+H47</f>
        <v>0</v>
      </c>
      <c r="I45" s="93">
        <f t="shared" si="6"/>
        <v>0</v>
      </c>
      <c r="J45" s="93">
        <f t="shared" si="6"/>
        <v>0</v>
      </c>
      <c r="K45" s="93">
        <f t="shared" si="6"/>
        <v>0</v>
      </c>
      <c r="L45" s="93">
        <f t="shared" si="6"/>
        <v>0</v>
      </c>
      <c r="M45" s="93">
        <f t="shared" si="6"/>
        <v>0</v>
      </c>
      <c r="N45" s="93">
        <f t="shared" si="6"/>
        <v>0</v>
      </c>
    </row>
    <row r="46" spans="1:14" s="3" customFormat="1" ht="16.5" customHeight="1">
      <c r="A46" s="16"/>
      <c r="B46" s="51"/>
      <c r="C46" s="884" t="s">
        <v>57</v>
      </c>
      <c r="D46" s="884"/>
      <c r="E46" s="884"/>
      <c r="F46" s="885"/>
      <c r="G46" s="29"/>
      <c r="H46" s="33"/>
      <c r="I46" s="78"/>
      <c r="J46" s="78"/>
      <c r="K46" s="82"/>
      <c r="L46" s="82"/>
      <c r="M46" s="33"/>
      <c r="N46" s="29"/>
    </row>
    <row r="47" spans="1:14" s="3" customFormat="1" ht="16.5" customHeight="1" thickBot="1">
      <c r="A47" s="16"/>
      <c r="B47" s="63"/>
      <c r="C47" s="888" t="s">
        <v>58</v>
      </c>
      <c r="D47" s="888"/>
      <c r="E47" s="888"/>
      <c r="F47" s="889"/>
      <c r="G47" s="24"/>
      <c r="H47" s="25"/>
      <c r="I47" s="26"/>
      <c r="J47" s="26"/>
      <c r="K47" s="12"/>
      <c r="L47" s="12"/>
      <c r="M47" s="25"/>
      <c r="N47" s="24"/>
    </row>
    <row r="48" spans="1:14" s="3" customFormat="1" ht="16.5" customHeight="1" thickBot="1">
      <c r="A48" s="102"/>
      <c r="B48" s="85" t="s">
        <v>37</v>
      </c>
      <c r="C48" s="876" t="s">
        <v>60</v>
      </c>
      <c r="D48" s="876"/>
      <c r="E48" s="876"/>
      <c r="F48" s="877"/>
      <c r="G48" s="93">
        <f>G49+G52</f>
        <v>0</v>
      </c>
      <c r="H48" s="93">
        <f aca="true" t="shared" si="7" ref="H48:N48">H49+H52</f>
        <v>0</v>
      </c>
      <c r="I48" s="93">
        <f t="shared" si="7"/>
        <v>0</v>
      </c>
      <c r="J48" s="93">
        <f t="shared" si="7"/>
        <v>0</v>
      </c>
      <c r="K48" s="93">
        <f t="shared" si="7"/>
        <v>0</v>
      </c>
      <c r="L48" s="93">
        <f t="shared" si="7"/>
        <v>0</v>
      </c>
      <c r="M48" s="93">
        <f t="shared" si="7"/>
        <v>0</v>
      </c>
      <c r="N48" s="93">
        <f t="shared" si="7"/>
        <v>0</v>
      </c>
    </row>
    <row r="49" spans="1:14" s="3" customFormat="1" ht="16.5" customHeight="1" thickBot="1">
      <c r="A49" s="94"/>
      <c r="B49" s="85"/>
      <c r="C49" s="80" t="s">
        <v>61</v>
      </c>
      <c r="D49" s="80"/>
      <c r="E49" s="80"/>
      <c r="F49" s="80"/>
      <c r="G49" s="93">
        <f>SUM(G50:G51)</f>
        <v>0</v>
      </c>
      <c r="H49" s="93">
        <f aca="true" t="shared" si="8" ref="H49:N49">SUM(H50:H51)</f>
        <v>0</v>
      </c>
      <c r="I49" s="93">
        <f t="shared" si="8"/>
        <v>0</v>
      </c>
      <c r="J49" s="93">
        <f t="shared" si="8"/>
        <v>0</v>
      </c>
      <c r="K49" s="93">
        <f t="shared" si="8"/>
        <v>0</v>
      </c>
      <c r="L49" s="93">
        <f t="shared" si="8"/>
        <v>0</v>
      </c>
      <c r="M49" s="93">
        <f t="shared" si="8"/>
        <v>0</v>
      </c>
      <c r="N49" s="93">
        <f t="shared" si="8"/>
        <v>0</v>
      </c>
    </row>
    <row r="50" spans="1:14" s="3" customFormat="1" ht="16.5" customHeight="1">
      <c r="A50" s="83"/>
      <c r="B50" s="87"/>
      <c r="C50" s="884" t="s">
        <v>57</v>
      </c>
      <c r="D50" s="884"/>
      <c r="E50" s="884"/>
      <c r="F50" s="885"/>
      <c r="G50" s="29"/>
      <c r="H50" s="33"/>
      <c r="I50" s="78"/>
      <c r="J50" s="78"/>
      <c r="K50" s="82"/>
      <c r="L50" s="82"/>
      <c r="M50" s="33"/>
      <c r="N50" s="29"/>
    </row>
    <row r="51" spans="1:14" s="3" customFormat="1" ht="16.5" customHeight="1" thickBot="1">
      <c r="A51" s="83"/>
      <c r="B51" s="97"/>
      <c r="C51" s="888" t="s">
        <v>58</v>
      </c>
      <c r="D51" s="888"/>
      <c r="E51" s="888"/>
      <c r="F51" s="889"/>
      <c r="G51" s="24"/>
      <c r="H51" s="25"/>
      <c r="I51" s="26"/>
      <c r="J51" s="26"/>
      <c r="K51" s="12"/>
      <c r="L51" s="12"/>
      <c r="M51" s="25"/>
      <c r="N51" s="24"/>
    </row>
    <row r="52" spans="1:14" s="3" customFormat="1" ht="16.5" customHeight="1" thickBot="1">
      <c r="A52" s="83"/>
      <c r="B52" s="85"/>
      <c r="C52" s="876" t="s">
        <v>62</v>
      </c>
      <c r="D52" s="876"/>
      <c r="E52" s="876"/>
      <c r="F52" s="877"/>
      <c r="G52" s="93">
        <f>G53+G54</f>
        <v>0</v>
      </c>
      <c r="H52" s="93">
        <f aca="true" t="shared" si="9" ref="H52:N52">H53+H54</f>
        <v>0</v>
      </c>
      <c r="I52" s="93">
        <f t="shared" si="9"/>
        <v>0</v>
      </c>
      <c r="J52" s="93">
        <f t="shared" si="9"/>
        <v>0</v>
      </c>
      <c r="K52" s="93">
        <f t="shared" si="9"/>
        <v>0</v>
      </c>
      <c r="L52" s="93">
        <f t="shared" si="9"/>
        <v>0</v>
      </c>
      <c r="M52" s="93">
        <f t="shared" si="9"/>
        <v>0</v>
      </c>
      <c r="N52" s="93">
        <f t="shared" si="9"/>
        <v>0</v>
      </c>
    </row>
    <row r="53" spans="1:14" s="3" customFormat="1" ht="16.5" customHeight="1">
      <c r="A53" s="83"/>
      <c r="B53" s="87"/>
      <c r="C53" s="884" t="s">
        <v>57</v>
      </c>
      <c r="D53" s="884"/>
      <c r="E53" s="884"/>
      <c r="F53" s="885"/>
      <c r="G53" s="29"/>
      <c r="H53" s="33"/>
      <c r="I53" s="78"/>
      <c r="J53" s="78"/>
      <c r="K53" s="82"/>
      <c r="L53" s="82"/>
      <c r="M53" s="33"/>
      <c r="N53" s="29"/>
    </row>
    <row r="54" spans="1:14" s="3" customFormat="1" ht="16.5" customHeight="1" thickBot="1">
      <c r="A54" s="83"/>
      <c r="B54" s="97"/>
      <c r="C54" s="888" t="s">
        <v>58</v>
      </c>
      <c r="D54" s="888"/>
      <c r="E54" s="888"/>
      <c r="F54" s="889"/>
      <c r="G54" s="24"/>
      <c r="H54" s="25"/>
      <c r="I54" s="26"/>
      <c r="J54" s="26"/>
      <c r="K54" s="12"/>
      <c r="L54" s="12"/>
      <c r="M54" s="25"/>
      <c r="N54" s="24"/>
    </row>
    <row r="55" spans="1:14" s="3" customFormat="1" ht="16.5" customHeight="1" thickBot="1">
      <c r="A55" s="99"/>
      <c r="B55" s="64" t="s">
        <v>38</v>
      </c>
      <c r="C55" s="890" t="s">
        <v>47</v>
      </c>
      <c r="D55" s="890"/>
      <c r="E55" s="890"/>
      <c r="F55" s="891"/>
      <c r="G55" s="100">
        <f>G56+G59</f>
        <v>0</v>
      </c>
      <c r="H55" s="100">
        <f aca="true" t="shared" si="10" ref="H55:N55">H56+H59</f>
        <v>0</v>
      </c>
      <c r="I55" s="100">
        <f t="shared" si="10"/>
        <v>0</v>
      </c>
      <c r="J55" s="100">
        <f t="shared" si="10"/>
        <v>0</v>
      </c>
      <c r="K55" s="100">
        <f t="shared" si="10"/>
        <v>0</v>
      </c>
      <c r="L55" s="100">
        <f t="shared" si="10"/>
        <v>0</v>
      </c>
      <c r="M55" s="100">
        <f t="shared" si="10"/>
        <v>0</v>
      </c>
      <c r="N55" s="100">
        <f t="shared" si="10"/>
        <v>0</v>
      </c>
    </row>
    <row r="56" spans="1:14" s="3" customFormat="1" ht="16.5" customHeight="1" thickBot="1">
      <c r="A56" s="94"/>
      <c r="B56" s="84"/>
      <c r="C56" s="876" t="s">
        <v>63</v>
      </c>
      <c r="D56" s="876"/>
      <c r="E56" s="876"/>
      <c r="F56" s="877"/>
      <c r="G56" s="93">
        <f>SUM(G57:G58)</f>
        <v>0</v>
      </c>
      <c r="H56" s="93">
        <f aca="true" t="shared" si="11" ref="H56:N56">SUM(H57:H58)</f>
        <v>0</v>
      </c>
      <c r="I56" s="93">
        <f t="shared" si="11"/>
        <v>0</v>
      </c>
      <c r="J56" s="93">
        <f t="shared" si="11"/>
        <v>0</v>
      </c>
      <c r="K56" s="93">
        <f t="shared" si="11"/>
        <v>0</v>
      </c>
      <c r="L56" s="93">
        <f t="shared" si="11"/>
        <v>0</v>
      </c>
      <c r="M56" s="93">
        <f t="shared" si="11"/>
        <v>0</v>
      </c>
      <c r="N56" s="93">
        <f t="shared" si="11"/>
        <v>0</v>
      </c>
    </row>
    <row r="57" spans="1:14" s="3" customFormat="1" ht="16.5" customHeight="1">
      <c r="A57" s="83"/>
      <c r="B57" s="81"/>
      <c r="C57" s="878" t="s">
        <v>64</v>
      </c>
      <c r="D57" s="879"/>
      <c r="E57" s="879"/>
      <c r="F57" s="880"/>
      <c r="G57" s="17"/>
      <c r="H57" s="18"/>
      <c r="I57" s="19"/>
      <c r="J57" s="19"/>
      <c r="K57" s="72"/>
      <c r="L57" s="72"/>
      <c r="M57" s="18"/>
      <c r="N57" s="17"/>
    </row>
    <row r="58" spans="1:14" s="3" customFormat="1" ht="16.5" customHeight="1" thickBot="1">
      <c r="A58" s="83"/>
      <c r="B58" s="86"/>
      <c r="C58" s="881" t="s">
        <v>65</v>
      </c>
      <c r="D58" s="882"/>
      <c r="E58" s="882"/>
      <c r="F58" s="883"/>
      <c r="G58" s="24"/>
      <c r="H58" s="25"/>
      <c r="I58" s="26"/>
      <c r="J58" s="26"/>
      <c r="K58" s="12"/>
      <c r="L58" s="12"/>
      <c r="M58" s="25"/>
      <c r="N58" s="24"/>
    </row>
    <row r="59" spans="1:14" s="3" customFormat="1" ht="16.5" customHeight="1" thickBot="1">
      <c r="A59" s="83"/>
      <c r="B59" s="84"/>
      <c r="C59" s="876" t="s">
        <v>66</v>
      </c>
      <c r="D59" s="876"/>
      <c r="E59" s="876"/>
      <c r="F59" s="877"/>
      <c r="G59" s="93">
        <f>SUM(G60:G61)</f>
        <v>0</v>
      </c>
      <c r="H59" s="93">
        <f aca="true" t="shared" si="12" ref="H59:N59">SUM(H60:H61)</f>
        <v>0</v>
      </c>
      <c r="I59" s="93">
        <f t="shared" si="12"/>
        <v>0</v>
      </c>
      <c r="J59" s="93">
        <f t="shared" si="12"/>
        <v>0</v>
      </c>
      <c r="K59" s="93">
        <f t="shared" si="12"/>
        <v>0</v>
      </c>
      <c r="L59" s="93">
        <f t="shared" si="12"/>
        <v>0</v>
      </c>
      <c r="M59" s="93">
        <f t="shared" si="12"/>
        <v>0</v>
      </c>
      <c r="N59" s="93">
        <f t="shared" si="12"/>
        <v>0</v>
      </c>
    </row>
    <row r="60" spans="1:17" s="3" customFormat="1" ht="16.5" customHeight="1">
      <c r="A60" s="83"/>
      <c r="B60" s="88"/>
      <c r="C60" s="572" t="s">
        <v>67</v>
      </c>
      <c r="D60" s="572"/>
      <c r="E60" s="572"/>
      <c r="F60" s="899"/>
      <c r="G60" s="89"/>
      <c r="H60" s="90"/>
      <c r="I60" s="91"/>
      <c r="J60" s="91"/>
      <c r="K60" s="92"/>
      <c r="L60" s="92"/>
      <c r="M60" s="90"/>
      <c r="N60" s="89"/>
      <c r="Q60" s="847"/>
    </row>
    <row r="61" spans="1:17" s="3" customFormat="1" ht="16.5" customHeight="1" thickBot="1">
      <c r="A61" s="83"/>
      <c r="B61" s="62"/>
      <c r="C61" s="900" t="s">
        <v>68</v>
      </c>
      <c r="D61" s="900"/>
      <c r="E61" s="900"/>
      <c r="F61" s="901"/>
      <c r="G61" s="24"/>
      <c r="H61" s="25"/>
      <c r="I61" s="26"/>
      <c r="J61" s="26"/>
      <c r="K61" s="12"/>
      <c r="L61" s="12"/>
      <c r="M61" s="25"/>
      <c r="N61" s="27"/>
      <c r="Q61" s="847"/>
    </row>
    <row r="62" spans="1:14" s="3" customFormat="1" ht="16.5" customHeight="1" thickBot="1">
      <c r="A62" s="95" t="s">
        <v>4</v>
      </c>
      <c r="B62" s="859" t="s">
        <v>70</v>
      </c>
      <c r="C62" s="860"/>
      <c r="D62" s="860"/>
      <c r="E62" s="860"/>
      <c r="F62" s="849"/>
      <c r="G62" s="42">
        <f>G41+G48+G55</f>
        <v>0</v>
      </c>
      <c r="H62" s="42">
        <f aca="true" t="shared" si="13" ref="H62:N62">H41+H48+H55</f>
        <v>0</v>
      </c>
      <c r="I62" s="42">
        <f t="shared" si="13"/>
        <v>0</v>
      </c>
      <c r="J62" s="42">
        <f t="shared" si="13"/>
        <v>0</v>
      </c>
      <c r="K62" s="42">
        <f t="shared" si="13"/>
        <v>0</v>
      </c>
      <c r="L62" s="42">
        <f t="shared" si="13"/>
        <v>0</v>
      </c>
      <c r="M62" s="42">
        <f t="shared" si="13"/>
        <v>0</v>
      </c>
      <c r="N62" s="42">
        <f t="shared" si="13"/>
        <v>0</v>
      </c>
    </row>
    <row r="63" spans="1:14" ht="27" customHeight="1" thickBot="1">
      <c r="A63" s="96"/>
      <c r="B63" s="64" t="s">
        <v>39</v>
      </c>
      <c r="C63" s="850" t="s">
        <v>48</v>
      </c>
      <c r="D63" s="850"/>
      <c r="E63" s="850"/>
      <c r="F63" s="850"/>
      <c r="G63" s="13"/>
      <c r="H63" s="45"/>
      <c r="I63" s="46"/>
      <c r="J63" s="46"/>
      <c r="K63" s="16"/>
      <c r="L63" s="16"/>
      <c r="M63" s="14">
        <f>G63+I63</f>
        <v>0</v>
      </c>
      <c r="N63" s="13"/>
    </row>
    <row r="64" spans="1:14" ht="16.5" customHeight="1" thickBot="1">
      <c r="A64" s="96"/>
      <c r="B64" s="98" t="s">
        <v>69</v>
      </c>
      <c r="C64" s="851" t="s">
        <v>49</v>
      </c>
      <c r="D64" s="851"/>
      <c r="E64" s="851"/>
      <c r="F64" s="851"/>
      <c r="G64" s="47"/>
      <c r="H64" s="28"/>
      <c r="I64" s="15"/>
      <c r="J64" s="15"/>
      <c r="K64" s="71"/>
      <c r="L64" s="71"/>
      <c r="M64" s="14">
        <f>G64+I64</f>
        <v>0</v>
      </c>
      <c r="N64" s="13"/>
    </row>
    <row r="65" spans="1:14" ht="16.5" customHeight="1" thickBot="1">
      <c r="A65" s="48"/>
      <c r="B65" s="853" t="s">
        <v>71</v>
      </c>
      <c r="C65" s="854"/>
      <c r="D65" s="854"/>
      <c r="E65" s="854"/>
      <c r="F65" s="854"/>
      <c r="G65" s="47">
        <f aca="true" t="shared" si="14" ref="G65:L65">SUM(G40,G62,G63,G64)</f>
        <v>148088</v>
      </c>
      <c r="H65" s="49">
        <f t="shared" si="14"/>
        <v>0</v>
      </c>
      <c r="I65" s="47">
        <f t="shared" si="14"/>
        <v>29676</v>
      </c>
      <c r="J65" s="15">
        <f t="shared" si="14"/>
        <v>0</v>
      </c>
      <c r="K65" s="13">
        <f t="shared" si="14"/>
        <v>2563334.541</v>
      </c>
      <c r="L65" s="13">
        <f t="shared" si="14"/>
        <v>0</v>
      </c>
      <c r="M65" s="49">
        <f>K65+I65+G65</f>
        <v>2741098.541</v>
      </c>
      <c r="N65" s="47">
        <f>SUM(N40,N62,N63,N64)</f>
        <v>0</v>
      </c>
    </row>
    <row r="66" spans="1:2" ht="12.75">
      <c r="A66" s="2"/>
      <c r="B66" s="6"/>
    </row>
    <row r="67" spans="1:11" ht="12.75">
      <c r="A67" s="2"/>
      <c r="B67" s="6"/>
      <c r="K67" s="5"/>
    </row>
    <row r="68" spans="1:11" ht="12.75">
      <c r="A68" s="2"/>
      <c r="B68" s="6"/>
      <c r="K68" s="5"/>
    </row>
    <row r="69" spans="1:13" ht="12.75">
      <c r="A69" s="2"/>
      <c r="B69" s="6"/>
      <c r="M69" s="5"/>
    </row>
    <row r="70" spans="1:2" ht="12.75">
      <c r="A70" s="2"/>
      <c r="B70" s="6"/>
    </row>
    <row r="71" spans="1:2" ht="12.75">
      <c r="A71" s="2"/>
      <c r="B71" s="6"/>
    </row>
    <row r="72" spans="1:2" ht="12.75">
      <c r="A72" s="2"/>
      <c r="B72" s="6"/>
    </row>
    <row r="73" spans="1:2" ht="12.75">
      <c r="A73" s="2"/>
      <c r="B73" s="6"/>
    </row>
    <row r="74" spans="1:2" ht="12.75">
      <c r="A74" s="2"/>
      <c r="B74" s="6"/>
    </row>
    <row r="75" spans="1:2" ht="12.75">
      <c r="A75" s="2"/>
      <c r="B75" s="6"/>
    </row>
    <row r="76" spans="1:2" ht="12.75">
      <c r="A76" s="2"/>
      <c r="B76" s="6"/>
    </row>
    <row r="77" spans="1:2" ht="12.75">
      <c r="A77" s="2"/>
      <c r="B77" s="6"/>
    </row>
    <row r="78" spans="1:2" ht="12.75">
      <c r="A78" s="2"/>
      <c r="B78" s="6"/>
    </row>
    <row r="79" spans="1:2" ht="12.75">
      <c r="A79" s="2"/>
      <c r="B79" s="6"/>
    </row>
    <row r="80" spans="1:2" ht="12.75">
      <c r="A80" s="2"/>
      <c r="B80" s="6"/>
    </row>
    <row r="81" spans="1:2" ht="12.75">
      <c r="A81" s="2"/>
      <c r="B81" s="6"/>
    </row>
    <row r="82" spans="1:2" ht="12.75">
      <c r="A82" s="2"/>
      <c r="B82" s="6"/>
    </row>
    <row r="83" spans="1:2" ht="12.75">
      <c r="A83" s="2"/>
      <c r="B83" s="6"/>
    </row>
    <row r="84" spans="1:2" ht="12.75">
      <c r="A84" s="2"/>
      <c r="B84" s="6"/>
    </row>
    <row r="85" spans="1:2" ht="12.75">
      <c r="A85" s="2"/>
      <c r="B85" s="6"/>
    </row>
    <row r="86" spans="1:2" ht="12.75">
      <c r="A86" s="2"/>
      <c r="B86" s="6"/>
    </row>
    <row r="87" spans="1:2" ht="12.75">
      <c r="A87" s="2"/>
      <c r="B87" s="6"/>
    </row>
    <row r="88" spans="1:2" ht="12.75">
      <c r="A88" s="2"/>
      <c r="B88" s="6"/>
    </row>
    <row r="89" spans="1:2" ht="12.75">
      <c r="A89" s="2"/>
      <c r="B89" s="6"/>
    </row>
    <row r="90" spans="1:2" ht="12.75">
      <c r="A90" s="2"/>
      <c r="B90" s="6"/>
    </row>
    <row r="91" spans="1:2" ht="12.75">
      <c r="A91" s="2"/>
      <c r="B91" s="6"/>
    </row>
    <row r="92" spans="1:2" ht="12.75">
      <c r="A92" s="2"/>
      <c r="B92" s="6"/>
    </row>
    <row r="93" spans="1:2" ht="12.75">
      <c r="A93" s="2"/>
      <c r="B93" s="6"/>
    </row>
    <row r="94" spans="1:2" ht="12.75">
      <c r="A94" s="2"/>
      <c r="B94" s="6"/>
    </row>
    <row r="95" spans="1:2" ht="12.75">
      <c r="A95" s="2"/>
      <c r="B95" s="6"/>
    </row>
    <row r="96" spans="1:2" ht="12.75">
      <c r="A96" s="2"/>
      <c r="B96" s="6"/>
    </row>
    <row r="97" spans="1:2" ht="12.75">
      <c r="A97" s="2"/>
      <c r="B97" s="6"/>
    </row>
    <row r="98" spans="1:2" ht="12.75">
      <c r="A98" s="2"/>
      <c r="B98" s="6"/>
    </row>
    <row r="99" spans="1:2" ht="12.75">
      <c r="A99" s="2"/>
      <c r="B99" s="6"/>
    </row>
    <row r="100" spans="1:2" ht="12.75">
      <c r="A100" s="2"/>
      <c r="B100" s="6"/>
    </row>
    <row r="101" spans="1:2" ht="12.75">
      <c r="A101" s="2"/>
      <c r="B101" s="6"/>
    </row>
    <row r="102" spans="1:2" ht="12.75">
      <c r="A102" s="2"/>
      <c r="B102" s="6"/>
    </row>
    <row r="103" spans="1:2" ht="12.75">
      <c r="A103" s="2"/>
      <c r="B103" s="6"/>
    </row>
    <row r="104" spans="1:2" ht="12.75">
      <c r="A104" s="2"/>
      <c r="B104" s="6"/>
    </row>
    <row r="105" spans="1:2" ht="12.75">
      <c r="A105" s="2"/>
      <c r="B105" s="6"/>
    </row>
    <row r="106" spans="1:2" ht="12.75">
      <c r="A106" s="2"/>
      <c r="B106" s="6"/>
    </row>
    <row r="107" spans="1:2" ht="12.75">
      <c r="A107" s="2"/>
      <c r="B107" s="6"/>
    </row>
    <row r="108" spans="1:2" ht="12.75">
      <c r="A108" s="2"/>
      <c r="B108" s="6"/>
    </row>
    <row r="109" spans="1:2" ht="12.75">
      <c r="A109" s="2"/>
      <c r="B109" s="6"/>
    </row>
    <row r="110" spans="1:2" ht="12.75">
      <c r="A110" s="2"/>
      <c r="B110" s="6"/>
    </row>
    <row r="111" spans="1:2" ht="12.75">
      <c r="A111" s="2"/>
      <c r="B111" s="6"/>
    </row>
    <row r="112" spans="1:2" ht="12.75">
      <c r="A112" s="2"/>
      <c r="B112" s="6"/>
    </row>
    <row r="113" spans="1:2" ht="12.75">
      <c r="A113" s="2"/>
      <c r="B113" s="6"/>
    </row>
    <row r="114" spans="1:2" ht="12.75">
      <c r="A114" s="2"/>
      <c r="B114" s="6"/>
    </row>
    <row r="115" spans="1:2" ht="12.75">
      <c r="A115" s="2"/>
      <c r="B115" s="6"/>
    </row>
    <row r="116" spans="1:2" ht="12.75">
      <c r="A116" s="2"/>
      <c r="B116" s="6"/>
    </row>
    <row r="117" spans="1:2" ht="12.75">
      <c r="A117" s="2"/>
      <c r="B117" s="6"/>
    </row>
    <row r="118" spans="1:2" ht="12.75">
      <c r="A118" s="2"/>
      <c r="B118" s="6"/>
    </row>
    <row r="119" spans="1:2" ht="12.75">
      <c r="A119" s="2"/>
      <c r="B119" s="6"/>
    </row>
    <row r="120" spans="1:2" ht="12.75">
      <c r="A120" s="2"/>
      <c r="B120" s="6"/>
    </row>
    <row r="121" spans="1:2" ht="12.75">
      <c r="A121" s="2"/>
      <c r="B121" s="6"/>
    </row>
    <row r="122" spans="1:2" ht="12.75">
      <c r="A122" s="2"/>
      <c r="B122" s="6"/>
    </row>
    <row r="123" spans="1:2" ht="12.75">
      <c r="A123" s="2"/>
      <c r="B123" s="6"/>
    </row>
    <row r="124" spans="1:2" ht="12.75">
      <c r="A124" s="2"/>
      <c r="B124" s="6"/>
    </row>
    <row r="125" spans="1:2" ht="12.75">
      <c r="A125" s="2"/>
      <c r="B125" s="6"/>
    </row>
    <row r="126" spans="1:2" ht="12.75">
      <c r="A126" s="2"/>
      <c r="B126" s="6"/>
    </row>
  </sheetData>
  <sheetProtection/>
  <mergeCells count="67">
    <mergeCell ref="K4:L4"/>
    <mergeCell ref="C20:F20"/>
    <mergeCell ref="I4:J4"/>
    <mergeCell ref="A4:F5"/>
    <mergeCell ref="G4:H4"/>
    <mergeCell ref="C59:F59"/>
    <mergeCell ref="C60:F60"/>
    <mergeCell ref="C61:F61"/>
    <mergeCell ref="C21:F21"/>
    <mergeCell ref="B65:F65"/>
    <mergeCell ref="C44:F44"/>
    <mergeCell ref="B62:F62"/>
    <mergeCell ref="C63:F63"/>
    <mergeCell ref="C64:F64"/>
    <mergeCell ref="C47:F47"/>
    <mergeCell ref="C48:F48"/>
    <mergeCell ref="C50:F50"/>
    <mergeCell ref="C51:F51"/>
    <mergeCell ref="C52:F52"/>
    <mergeCell ref="C41:F41"/>
    <mergeCell ref="C34:F34"/>
    <mergeCell ref="C30:F30"/>
    <mergeCell ref="B39:F39"/>
    <mergeCell ref="B40:F40"/>
    <mergeCell ref="C36:F36"/>
    <mergeCell ref="C37:F37"/>
    <mergeCell ref="C31:F31"/>
    <mergeCell ref="C32:F32"/>
    <mergeCell ref="C33:F33"/>
    <mergeCell ref="B35:F35"/>
    <mergeCell ref="C38:F38"/>
    <mergeCell ref="C18:F18"/>
    <mergeCell ref="C19:F19"/>
    <mergeCell ref="C23:F23"/>
    <mergeCell ref="C24:F24"/>
    <mergeCell ref="C25:F25"/>
    <mergeCell ref="C26:F26"/>
    <mergeCell ref="C27:F27"/>
    <mergeCell ref="C28:F28"/>
    <mergeCell ref="C29:F29"/>
    <mergeCell ref="C11:F11"/>
    <mergeCell ref="C12:F12"/>
    <mergeCell ref="C22:F22"/>
    <mergeCell ref="C15:F15"/>
    <mergeCell ref="C16:F16"/>
    <mergeCell ref="C17:F17"/>
    <mergeCell ref="C13:F13"/>
    <mergeCell ref="A1:N2"/>
    <mergeCell ref="N3:O3"/>
    <mergeCell ref="K3:L3"/>
    <mergeCell ref="C14:F14"/>
    <mergeCell ref="A6:F6"/>
    <mergeCell ref="C7:F7"/>
    <mergeCell ref="C8:F8"/>
    <mergeCell ref="C9:F9"/>
    <mergeCell ref="C10:F10"/>
    <mergeCell ref="M4:N4"/>
    <mergeCell ref="C56:F56"/>
    <mergeCell ref="C57:F57"/>
    <mergeCell ref="C58:F58"/>
    <mergeCell ref="C42:F42"/>
    <mergeCell ref="C45:F45"/>
    <mergeCell ref="C46:F46"/>
    <mergeCell ref="C43:F43"/>
    <mergeCell ref="C53:F53"/>
    <mergeCell ref="C54:F54"/>
    <mergeCell ref="C55:F55"/>
  </mergeCells>
  <printOptions horizontalCentered="1" verticalCentered="1"/>
  <pageMargins left="0.03937007874015748" right="0" top="0.15748031496062992" bottom="0.17" header="0.5118110236220472" footer="0.21"/>
  <pageSetup horizontalDpi="600" verticalDpi="600" orientation="portrait" paperSize="9" scale="87" r:id="rId1"/>
  <headerFooter alignWithMargins="0">
    <oddHeader>&amp;R 1.a.sz.melléklet</oddHeader>
  </headerFooter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5">
      <selection activeCell="F25" sqref="F25"/>
    </sheetView>
  </sheetViews>
  <sheetFormatPr defaultColWidth="9.00390625" defaultRowHeight="12.75"/>
  <cols>
    <col min="1" max="1" width="42.375" style="0" customWidth="1"/>
    <col min="2" max="2" width="18.25390625" style="0" customWidth="1"/>
    <col min="3" max="3" width="16.25390625" style="0" customWidth="1"/>
    <col min="4" max="4" width="15.25390625" style="0" bestFit="1" customWidth="1"/>
    <col min="5" max="5" width="9.25390625" style="0" bestFit="1" customWidth="1"/>
  </cols>
  <sheetData>
    <row r="1" spans="1:5" ht="15">
      <c r="A1" s="434"/>
      <c r="B1" s="434"/>
      <c r="E1" s="435"/>
    </row>
    <row r="2" spans="1:5" ht="15.75">
      <c r="A2" s="1033"/>
      <c r="B2" s="1033"/>
      <c r="C2" s="1033"/>
      <c r="D2" s="1033"/>
      <c r="E2" s="1033"/>
    </row>
    <row r="3" spans="1:5" ht="15" customHeight="1">
      <c r="A3" s="1034"/>
      <c r="B3" s="1034"/>
      <c r="C3" s="1034"/>
      <c r="D3" s="1034"/>
      <c r="E3" s="1034"/>
    </row>
    <row r="4" spans="1:5" ht="15.75">
      <c r="A4" s="1035"/>
      <c r="B4" s="1035"/>
      <c r="C4" s="1035"/>
      <c r="D4" s="1035"/>
      <c r="E4" s="1035"/>
    </row>
    <row r="5" spans="1:4" ht="15.75" thickBot="1">
      <c r="A5" s="434"/>
      <c r="B5" s="434"/>
      <c r="C5" s="434"/>
      <c r="D5" s="436" t="s">
        <v>355</v>
      </c>
    </row>
    <row r="6" spans="1:6" s="442" customFormat="1" ht="28.5" customHeight="1" thickBot="1">
      <c r="A6" s="437" t="s">
        <v>356</v>
      </c>
      <c r="B6" s="438" t="s">
        <v>357</v>
      </c>
      <c r="C6" s="439" t="s">
        <v>358</v>
      </c>
      <c r="D6" s="440" t="s">
        <v>359</v>
      </c>
      <c r="E6" s="441"/>
      <c r="F6" s="441"/>
    </row>
    <row r="7" spans="1:6" ht="12.75" customHeight="1">
      <c r="A7" s="443" t="s">
        <v>360</v>
      </c>
      <c r="B7" s="444"/>
      <c r="C7" s="445"/>
      <c r="D7" s="446"/>
      <c r="E7" s="447"/>
      <c r="F7" s="447"/>
    </row>
    <row r="8" spans="1:6" ht="12.75">
      <c r="A8" s="448" t="s">
        <v>361</v>
      </c>
      <c r="B8" s="449">
        <v>130</v>
      </c>
      <c r="C8" s="450">
        <v>73324</v>
      </c>
      <c r="D8" s="451">
        <v>14665</v>
      </c>
      <c r="E8" s="447"/>
      <c r="F8" s="447"/>
    </row>
    <row r="9" spans="1:6" ht="12.75">
      <c r="A9" s="452" t="s">
        <v>362</v>
      </c>
      <c r="B9" s="453">
        <v>20</v>
      </c>
      <c r="C9" s="450">
        <v>10158</v>
      </c>
      <c r="D9" s="451">
        <v>1016</v>
      </c>
      <c r="E9" s="447"/>
      <c r="F9" s="447"/>
    </row>
    <row r="10" spans="1:6" ht="12.75">
      <c r="A10" s="452" t="s">
        <v>363</v>
      </c>
      <c r="B10" s="453">
        <v>60</v>
      </c>
      <c r="C10" s="450">
        <v>45712</v>
      </c>
      <c r="D10" s="451">
        <v>4571</v>
      </c>
      <c r="E10" s="447"/>
      <c r="F10" s="447"/>
    </row>
    <row r="11" spans="1:6" ht="12.75">
      <c r="A11" s="452"/>
      <c r="B11" s="453"/>
      <c r="C11" s="450"/>
      <c r="D11" s="451"/>
      <c r="E11" s="447"/>
      <c r="F11" s="447"/>
    </row>
    <row r="12" spans="1:6" ht="12.75">
      <c r="A12" s="452" t="s">
        <v>364</v>
      </c>
      <c r="B12" s="454">
        <v>120</v>
      </c>
      <c r="C12" s="450">
        <v>38940</v>
      </c>
      <c r="D12" s="451">
        <v>9735</v>
      </c>
      <c r="E12" s="447"/>
      <c r="F12" s="447"/>
    </row>
    <row r="13" spans="1:6" ht="12.75">
      <c r="A13" s="452" t="s">
        <v>365</v>
      </c>
      <c r="B13" s="454">
        <v>35</v>
      </c>
      <c r="C13" s="450">
        <v>14726</v>
      </c>
      <c r="D13" s="451">
        <v>3682</v>
      </c>
      <c r="E13" s="447"/>
      <c r="F13" s="447"/>
    </row>
    <row r="14" spans="1:6" ht="12.75">
      <c r="A14" s="455" t="s">
        <v>366</v>
      </c>
      <c r="B14" s="456">
        <v>10</v>
      </c>
      <c r="C14" s="457">
        <v>2850</v>
      </c>
      <c r="D14" s="458">
        <v>285</v>
      </c>
      <c r="E14" s="447"/>
      <c r="F14" s="447"/>
    </row>
    <row r="15" spans="1:6" ht="12.75">
      <c r="A15" s="452" t="s">
        <v>367</v>
      </c>
      <c r="B15" s="454">
        <v>230</v>
      </c>
      <c r="C15" s="450">
        <v>21600</v>
      </c>
      <c r="D15" s="451">
        <v>2160</v>
      </c>
      <c r="E15" s="447"/>
      <c r="F15" s="447"/>
    </row>
    <row r="16" spans="1:6" ht="12.75">
      <c r="A16" s="452" t="s">
        <v>368</v>
      </c>
      <c r="B16" s="454">
        <v>25</v>
      </c>
      <c r="C16" s="450">
        <v>92</v>
      </c>
      <c r="D16" s="451">
        <v>92</v>
      </c>
      <c r="E16" s="447"/>
      <c r="F16" s="447"/>
    </row>
    <row r="17" spans="1:6" ht="12.75">
      <c r="A17" s="455"/>
      <c r="B17" s="456"/>
      <c r="C17" s="457"/>
      <c r="D17" s="458"/>
      <c r="E17" s="447"/>
      <c r="F17" s="447"/>
    </row>
    <row r="18" spans="1:6" ht="12.75">
      <c r="A18" s="455"/>
      <c r="B18" s="456"/>
      <c r="C18" s="457"/>
      <c r="D18" s="458"/>
      <c r="E18" s="447"/>
      <c r="F18" s="447"/>
    </row>
    <row r="19" spans="1:6" ht="13.5" thickBot="1">
      <c r="A19" s="459"/>
      <c r="B19" s="460"/>
      <c r="C19" s="461"/>
      <c r="D19" s="462"/>
      <c r="E19" s="447"/>
      <c r="F19" s="447"/>
    </row>
    <row r="20" spans="1:6" ht="13.5" thickBot="1">
      <c r="A20" s="437" t="s">
        <v>369</v>
      </c>
      <c r="B20" s="438"/>
      <c r="C20" s="463">
        <f>SUM(C7:C16)</f>
        <v>207402</v>
      </c>
      <c r="D20" s="464">
        <f>SUM(D8:D16)</f>
        <v>36206</v>
      </c>
      <c r="E20" s="447"/>
      <c r="F20" s="447"/>
    </row>
    <row r="21" spans="1:6" ht="13.5" thickBot="1">
      <c r="A21" s="465"/>
      <c r="B21" s="466"/>
      <c r="C21" s="467"/>
      <c r="D21" s="468"/>
      <c r="E21" s="447"/>
      <c r="F21" s="447"/>
    </row>
    <row r="22" spans="1:6" ht="19.5" customHeight="1">
      <c r="A22" s="469" t="s">
        <v>370</v>
      </c>
      <c r="B22" s="470"/>
      <c r="C22" s="471"/>
      <c r="D22" s="472"/>
      <c r="E22" s="473"/>
      <c r="F22" s="447"/>
    </row>
    <row r="23" spans="1:6" ht="12.75">
      <c r="A23" s="452" t="s">
        <v>739</v>
      </c>
      <c r="B23" s="453">
        <v>300</v>
      </c>
      <c r="C23" s="450"/>
      <c r="D23" s="451">
        <f>3500-1810</f>
        <v>1690</v>
      </c>
      <c r="F23" s="447"/>
    </row>
    <row r="24" spans="1:6" ht="12.75">
      <c r="A24" s="452" t="s">
        <v>371</v>
      </c>
      <c r="B24" s="453">
        <v>6</v>
      </c>
      <c r="C24" s="450"/>
      <c r="D24" s="451">
        <v>800</v>
      </c>
      <c r="F24" s="447"/>
    </row>
    <row r="25" spans="1:6" ht="12.75">
      <c r="A25" s="452" t="s">
        <v>372</v>
      </c>
      <c r="B25" s="453">
        <v>25</v>
      </c>
      <c r="C25" s="450"/>
      <c r="D25" s="451">
        <v>1000</v>
      </c>
      <c r="F25" s="447"/>
    </row>
    <row r="26" spans="1:6" ht="12.75">
      <c r="A26" s="448" t="s">
        <v>373</v>
      </c>
      <c r="B26" s="449">
        <v>140</v>
      </c>
      <c r="C26" s="450"/>
      <c r="D26" s="474">
        <v>3000</v>
      </c>
      <c r="F26" s="447"/>
    </row>
    <row r="27" spans="1:6" ht="12.75">
      <c r="A27" s="452" t="s">
        <v>374</v>
      </c>
      <c r="B27" s="453">
        <v>280</v>
      </c>
      <c r="C27" s="450"/>
      <c r="D27" s="474">
        <v>7980</v>
      </c>
      <c r="F27" s="447"/>
    </row>
    <row r="28" spans="1:6" ht="12.75">
      <c r="A28" s="452" t="s">
        <v>375</v>
      </c>
      <c r="B28" s="453">
        <v>100</v>
      </c>
      <c r="C28" s="450"/>
      <c r="D28" s="474">
        <v>1650</v>
      </c>
      <c r="F28" s="447"/>
    </row>
    <row r="29" spans="1:6" ht="12.75">
      <c r="A29" s="452" t="s">
        <v>376</v>
      </c>
      <c r="B29" s="453">
        <v>50</v>
      </c>
      <c r="C29" s="450"/>
      <c r="D29" s="474">
        <v>256</v>
      </c>
      <c r="F29" s="447"/>
    </row>
    <row r="30" spans="1:4" ht="12.75">
      <c r="A30" s="475" t="s">
        <v>753</v>
      </c>
      <c r="B30" s="476"/>
      <c r="C30" s="477"/>
      <c r="D30" s="617">
        <v>2000</v>
      </c>
    </row>
    <row r="31" spans="1:4" ht="12.75">
      <c r="A31" s="475" t="s">
        <v>754</v>
      </c>
      <c r="B31" s="476"/>
      <c r="C31" s="477"/>
      <c r="D31" s="617">
        <v>750</v>
      </c>
    </row>
    <row r="32" spans="1:4" ht="12.75">
      <c r="A32" s="475" t="s">
        <v>755</v>
      </c>
      <c r="B32" s="476"/>
      <c r="C32" s="477"/>
      <c r="D32" s="617">
        <v>450</v>
      </c>
    </row>
    <row r="33" spans="1:6" ht="12.75">
      <c r="A33" s="478" t="s">
        <v>377</v>
      </c>
      <c r="B33" s="479"/>
      <c r="C33" s="480">
        <f>SUM(C23:C29)</f>
        <v>0</v>
      </c>
      <c r="D33" s="481">
        <f>SUM(D23:D32)</f>
        <v>19576</v>
      </c>
      <c r="E33" s="447"/>
      <c r="F33" s="447"/>
    </row>
    <row r="34" spans="1:6" ht="12.75">
      <c r="A34" s="482"/>
      <c r="B34" s="483"/>
      <c r="C34" s="484"/>
      <c r="D34" s="485"/>
      <c r="E34" s="486"/>
      <c r="F34" s="447"/>
    </row>
    <row r="35" spans="1:4" ht="25.5" customHeight="1" thickBot="1">
      <c r="A35" s="487" t="s">
        <v>378</v>
      </c>
      <c r="B35" s="488"/>
      <c r="C35" s="489">
        <f>SUM(C20+C33)</f>
        <v>207402</v>
      </c>
      <c r="D35" s="490">
        <f>SUM(D20+D33)</f>
        <v>55782</v>
      </c>
    </row>
    <row r="36" spans="1:5" ht="12.75">
      <c r="A36" s="1036"/>
      <c r="B36" s="1036"/>
      <c r="C36" s="1036"/>
      <c r="D36" s="1036"/>
      <c r="E36" s="1036"/>
    </row>
    <row r="37" spans="1:5" ht="12.75">
      <c r="A37" s="1036"/>
      <c r="B37" s="1036"/>
      <c r="C37" s="1036"/>
      <c r="D37" s="1036"/>
      <c r="E37" s="1036"/>
    </row>
  </sheetData>
  <sheetProtection/>
  <mergeCells count="4">
    <mergeCell ref="A2:E2"/>
    <mergeCell ref="A3:E3"/>
    <mergeCell ref="A4:E4"/>
    <mergeCell ref="A36:E37"/>
  </mergeCells>
  <printOptions horizontalCentered="1" verticalCentered="1"/>
  <pageMargins left="0.5118110236220472" right="0.43307086614173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CE,Félkövér"&amp;12
Társadalmi és szociálpolitikai juttatások alakulása 
terv 
2012&amp;R
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4">
      <selection activeCell="E13" sqref="E13"/>
    </sheetView>
  </sheetViews>
  <sheetFormatPr defaultColWidth="9.00390625" defaultRowHeight="12.75"/>
  <cols>
    <col min="1" max="1" width="6.125" style="522" customWidth="1"/>
    <col min="2" max="2" width="62.875" style="2" customWidth="1"/>
    <col min="3" max="3" width="11.00390625" style="2" customWidth="1"/>
    <col min="4" max="4" width="10.75390625" style="0" customWidth="1"/>
    <col min="5" max="5" width="13.125" style="0" customWidth="1"/>
  </cols>
  <sheetData>
    <row r="1" ht="12.75">
      <c r="E1" s="523" t="s">
        <v>398</v>
      </c>
    </row>
    <row r="2" spans="1:5" ht="14.25" customHeight="1">
      <c r="A2" s="1037" t="s">
        <v>313</v>
      </c>
      <c r="B2" s="1037"/>
      <c r="C2" s="1037"/>
      <c r="D2" s="1037"/>
      <c r="E2" s="1037"/>
    </row>
    <row r="3" spans="1:5" ht="34.5" customHeight="1">
      <c r="A3" s="1038" t="s">
        <v>665</v>
      </c>
      <c r="B3" s="1038"/>
      <c r="C3" s="1038"/>
      <c r="D3" s="1038"/>
      <c r="E3" s="1038"/>
    </row>
    <row r="4" spans="2:3" ht="18">
      <c r="B4" s="524"/>
      <c r="C4" s="524"/>
    </row>
    <row r="5" spans="3:5" ht="13.5" thickBot="1">
      <c r="C5" s="174"/>
      <c r="E5" s="525" t="s">
        <v>51</v>
      </c>
    </row>
    <row r="6" spans="1:5" ht="12.75">
      <c r="A6" s="1039" t="s">
        <v>380</v>
      </c>
      <c r="B6" s="1041" t="s">
        <v>399</v>
      </c>
      <c r="C6" s="1039">
        <v>2012</v>
      </c>
      <c r="D6" s="1043">
        <v>2013</v>
      </c>
      <c r="E6" s="1045">
        <v>2014</v>
      </c>
    </row>
    <row r="7" spans="1:5" ht="13.5" thickBot="1">
      <c r="A7" s="1040"/>
      <c r="B7" s="1042"/>
      <c r="C7" s="1040"/>
      <c r="D7" s="1044"/>
      <c r="E7" s="1046"/>
    </row>
    <row r="8" spans="1:5" ht="15" customHeight="1" thickBot="1">
      <c r="A8" s="526">
        <v>1</v>
      </c>
      <c r="B8" s="527" t="s">
        <v>666</v>
      </c>
      <c r="C8" s="528"/>
      <c r="D8" s="529"/>
      <c r="E8" s="530"/>
    </row>
    <row r="9" spans="1:5" ht="15" customHeight="1">
      <c r="A9" s="531"/>
      <c r="B9" s="527" t="s">
        <v>667</v>
      </c>
      <c r="C9" s="528">
        <v>4299</v>
      </c>
      <c r="D9" s="529">
        <v>4299</v>
      </c>
      <c r="E9" s="530">
        <v>4299</v>
      </c>
    </row>
    <row r="10" spans="1:5" ht="15" customHeight="1">
      <c r="A10" s="531"/>
      <c r="B10" s="527" t="s">
        <v>667</v>
      </c>
      <c r="C10" s="532">
        <v>8740</v>
      </c>
      <c r="D10" s="533">
        <v>8740</v>
      </c>
      <c r="E10" s="534">
        <v>8740</v>
      </c>
    </row>
    <row r="11" spans="1:5" ht="15" customHeight="1">
      <c r="A11" s="531"/>
      <c r="B11" s="527" t="s">
        <v>668</v>
      </c>
      <c r="C11" s="532">
        <v>6230</v>
      </c>
      <c r="D11" s="533">
        <v>6230</v>
      </c>
      <c r="E11" s="534">
        <v>6230</v>
      </c>
    </row>
    <row r="12" spans="1:5" ht="15" customHeight="1">
      <c r="A12" s="531">
        <v>2</v>
      </c>
      <c r="B12" s="527" t="s">
        <v>675</v>
      </c>
      <c r="C12" s="532"/>
      <c r="D12" s="533">
        <v>223946</v>
      </c>
      <c r="E12" s="534">
        <v>223946</v>
      </c>
    </row>
    <row r="13" spans="1:5" ht="15" customHeight="1">
      <c r="A13" s="531">
        <v>3</v>
      </c>
      <c r="B13" s="527" t="s">
        <v>402</v>
      </c>
      <c r="C13" s="532"/>
      <c r="D13" s="533"/>
      <c r="E13" s="534"/>
    </row>
    <row r="14" spans="1:5" ht="15" customHeight="1">
      <c r="A14" s="531">
        <v>4</v>
      </c>
      <c r="B14" s="535" t="s">
        <v>669</v>
      </c>
      <c r="C14" s="532"/>
      <c r="D14" s="533"/>
      <c r="E14" s="534"/>
    </row>
    <row r="15" spans="1:5" ht="25.5">
      <c r="A15" s="531">
        <f>A14+1</f>
        <v>5</v>
      </c>
      <c r="B15" s="536" t="s">
        <v>670</v>
      </c>
      <c r="C15" s="532"/>
      <c r="D15" s="533"/>
      <c r="E15" s="534"/>
    </row>
    <row r="16" spans="1:5" ht="26.25" customHeight="1">
      <c r="A16" s="780">
        <v>6</v>
      </c>
      <c r="B16" s="536" t="s">
        <v>671</v>
      </c>
      <c r="C16" s="781"/>
      <c r="D16" s="552"/>
      <c r="E16" s="539"/>
    </row>
    <row r="17" spans="1:5" ht="26.25" customHeight="1">
      <c r="A17" s="780">
        <v>7</v>
      </c>
      <c r="B17" s="536" t="s">
        <v>672</v>
      </c>
      <c r="C17" s="781"/>
      <c r="D17" s="552"/>
      <c r="E17" s="539"/>
    </row>
    <row r="18" spans="1:5" ht="26.25" customHeight="1" thickBot="1">
      <c r="A18" s="782">
        <v>8</v>
      </c>
      <c r="B18" s="783" t="s">
        <v>673</v>
      </c>
      <c r="C18" s="537"/>
      <c r="D18" s="538"/>
      <c r="E18" s="784"/>
    </row>
    <row r="19" spans="1:5" ht="15" customHeight="1" thickBot="1">
      <c r="A19" s="540">
        <v>9</v>
      </c>
      <c r="B19" s="541" t="s">
        <v>674</v>
      </c>
      <c r="C19" s="542">
        <f>SUM(C8:C16)</f>
        <v>19269</v>
      </c>
      <c r="D19" s="542">
        <f>SUM(D9:D15)</f>
        <v>243215</v>
      </c>
      <c r="E19" s="543">
        <f>SUM(E8:E16)</f>
        <v>243215</v>
      </c>
    </row>
    <row r="20" spans="1:5" ht="15" customHeight="1">
      <c r="A20" s="545">
        <v>10</v>
      </c>
      <c r="B20" s="546" t="s">
        <v>9</v>
      </c>
      <c r="C20" s="547">
        <f>Bevételek!M13</f>
        <v>229739.426</v>
      </c>
      <c r="D20" s="548">
        <v>230000</v>
      </c>
      <c r="E20" s="530">
        <v>235000</v>
      </c>
    </row>
    <row r="21" spans="1:5" ht="28.5" customHeight="1">
      <c r="A21" s="531">
        <f>A20+1</f>
        <v>11</v>
      </c>
      <c r="B21" s="785" t="s">
        <v>676</v>
      </c>
      <c r="C21" s="549"/>
      <c r="D21" s="550"/>
      <c r="E21" s="534"/>
    </row>
    <row r="22" spans="1:5" ht="15" customHeight="1">
      <c r="A22" s="531">
        <f>A21+1</f>
        <v>12</v>
      </c>
      <c r="B22" s="527" t="s">
        <v>677</v>
      </c>
      <c r="C22" s="549"/>
      <c r="D22" s="549"/>
      <c r="E22" s="534"/>
    </row>
    <row r="23" spans="1:5" ht="28.5" customHeight="1">
      <c r="A23" s="531">
        <f>A22+1</f>
        <v>13</v>
      </c>
      <c r="B23" s="785" t="s">
        <v>678</v>
      </c>
      <c r="C23" s="549">
        <v>10000</v>
      </c>
      <c r="D23" s="548"/>
      <c r="E23" s="534"/>
    </row>
    <row r="24" spans="1:5" ht="15" customHeight="1">
      <c r="A24" s="531">
        <f>A23+1</f>
        <v>14</v>
      </c>
      <c r="B24" s="527" t="s">
        <v>679</v>
      </c>
      <c r="C24" s="549">
        <f>'sajátos 15'!I45</f>
        <v>18744.117</v>
      </c>
      <c r="D24" s="551"/>
      <c r="E24" s="534"/>
    </row>
    <row r="25" spans="1:5" ht="15" customHeight="1" thickBot="1">
      <c r="A25" s="531">
        <f>A24+1</f>
        <v>15</v>
      </c>
      <c r="B25" s="527" t="s">
        <v>680</v>
      </c>
      <c r="C25" s="549"/>
      <c r="D25" s="551"/>
      <c r="E25" s="534"/>
    </row>
    <row r="26" spans="1:5" ht="15" customHeight="1" thickBot="1">
      <c r="A26" s="540">
        <v>16</v>
      </c>
      <c r="B26" s="541" t="s">
        <v>681</v>
      </c>
      <c r="C26" s="542">
        <f>SUM(C20:C25)</f>
        <v>258483.543</v>
      </c>
      <c r="D26" s="542">
        <v>52539</v>
      </c>
      <c r="E26" s="543">
        <v>51502</v>
      </c>
    </row>
    <row r="27" spans="1:5" ht="13.5" thickBot="1">
      <c r="A27" s="544">
        <v>17</v>
      </c>
      <c r="B27" s="786" t="s">
        <v>682</v>
      </c>
      <c r="C27" s="779">
        <f>C26*50%</f>
        <v>129241.7715</v>
      </c>
      <c r="D27" s="542">
        <f>D26*50%</f>
        <v>26269.5</v>
      </c>
      <c r="E27" s="543">
        <f>E26*50%</f>
        <v>25751</v>
      </c>
    </row>
  </sheetData>
  <sheetProtection/>
  <mergeCells count="7">
    <mergeCell ref="A2:E2"/>
    <mergeCell ref="A3:E3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46"/>
  <sheetViews>
    <sheetView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3.125" style="555" bestFit="1" customWidth="1"/>
    <col min="2" max="2" width="35.375" style="556" bestFit="1" customWidth="1"/>
    <col min="3" max="3" width="10.375" style="557" bestFit="1" customWidth="1"/>
    <col min="4" max="4" width="9.625" style="557" bestFit="1" customWidth="1"/>
    <col min="5" max="5" width="9.625" style="633" bestFit="1" customWidth="1"/>
    <col min="6" max="6" width="9.625" style="557" customWidth="1"/>
    <col min="7" max="14" width="9.625" style="557" bestFit="1" customWidth="1"/>
    <col min="15" max="15" width="8.875" style="557" bestFit="1" customWidth="1"/>
    <col min="16" max="16" width="9.875" style="555" customWidth="1"/>
    <col min="17" max="16384" width="9.125" style="555" customWidth="1"/>
  </cols>
  <sheetData>
    <row r="1" spans="4:10" ht="12.75">
      <c r="D1" s="1047" t="s">
        <v>114</v>
      </c>
      <c r="E1" s="1048"/>
      <c r="F1" s="1048"/>
      <c r="G1" s="1048"/>
      <c r="H1" s="1048"/>
      <c r="I1" s="1048"/>
      <c r="J1" s="1048"/>
    </row>
    <row r="2" spans="1:15" ht="21" customHeight="1">
      <c r="A2" s="558" t="s">
        <v>403</v>
      </c>
      <c r="B2" s="559"/>
      <c r="C2" s="560"/>
      <c r="D2" s="560"/>
      <c r="E2" s="561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1:15" ht="21" customHeight="1" thickBot="1">
      <c r="A3" s="1049" t="s">
        <v>404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</row>
    <row r="4" spans="1:23" s="568" customFormat="1" ht="21" customHeight="1" thickBot="1">
      <c r="A4" s="562"/>
      <c r="B4" s="563" t="s">
        <v>405</v>
      </c>
      <c r="C4" s="564" t="s">
        <v>406</v>
      </c>
      <c r="D4" s="564" t="s">
        <v>407</v>
      </c>
      <c r="E4" s="565" t="s">
        <v>408</v>
      </c>
      <c r="F4" s="564" t="s">
        <v>409</v>
      </c>
      <c r="G4" s="564" t="s">
        <v>410</v>
      </c>
      <c r="H4" s="564" t="s">
        <v>411</v>
      </c>
      <c r="I4" s="564" t="s">
        <v>412</v>
      </c>
      <c r="J4" s="564" t="s">
        <v>413</v>
      </c>
      <c r="K4" s="564" t="s">
        <v>414</v>
      </c>
      <c r="L4" s="564" t="s">
        <v>415</v>
      </c>
      <c r="M4" s="564" t="s">
        <v>416</v>
      </c>
      <c r="N4" s="564" t="s">
        <v>417</v>
      </c>
      <c r="O4" s="566" t="s">
        <v>418</v>
      </c>
      <c r="P4" s="567"/>
      <c r="Q4" s="567"/>
      <c r="R4" s="567"/>
      <c r="S4" s="567"/>
      <c r="T4" s="567"/>
      <c r="U4" s="567"/>
      <c r="V4" s="567"/>
      <c r="W4" s="567"/>
    </row>
    <row r="5" spans="1:23" ht="21" customHeight="1">
      <c r="A5" s="569" t="s">
        <v>6</v>
      </c>
      <c r="B5" s="570" t="s">
        <v>419</v>
      </c>
      <c r="C5" s="571">
        <f>Bevételek!M7-1</f>
        <v>95079</v>
      </c>
      <c r="D5" s="573">
        <f>$C$5/12</f>
        <v>7923.25</v>
      </c>
      <c r="E5" s="573">
        <f aca="true" t="shared" si="0" ref="E5:O5">$C$5/12</f>
        <v>7923.25</v>
      </c>
      <c r="F5" s="573">
        <f t="shared" si="0"/>
        <v>7923.25</v>
      </c>
      <c r="G5" s="573">
        <f t="shared" si="0"/>
        <v>7923.25</v>
      </c>
      <c r="H5" s="573">
        <f t="shared" si="0"/>
        <v>7923.25</v>
      </c>
      <c r="I5" s="573">
        <f t="shared" si="0"/>
        <v>7923.25</v>
      </c>
      <c r="J5" s="573">
        <f t="shared" si="0"/>
        <v>7923.25</v>
      </c>
      <c r="K5" s="573">
        <f t="shared" si="0"/>
        <v>7923.25</v>
      </c>
      <c r="L5" s="573">
        <f t="shared" si="0"/>
        <v>7923.25</v>
      </c>
      <c r="M5" s="573">
        <f t="shared" si="0"/>
        <v>7923.25</v>
      </c>
      <c r="N5" s="573">
        <f t="shared" si="0"/>
        <v>7923.25</v>
      </c>
      <c r="O5" s="574">
        <f t="shared" si="0"/>
        <v>7923.25</v>
      </c>
      <c r="P5" s="575">
        <f>SUM(D5:O5)</f>
        <v>95079</v>
      </c>
      <c r="Q5" s="576"/>
      <c r="R5" s="576"/>
      <c r="S5" s="576"/>
      <c r="T5" s="576"/>
      <c r="U5" s="576"/>
      <c r="V5" s="576"/>
      <c r="W5" s="576"/>
    </row>
    <row r="6" spans="1:23" ht="21" customHeight="1">
      <c r="A6" s="577" t="s">
        <v>7</v>
      </c>
      <c r="B6" s="578" t="s">
        <v>420</v>
      </c>
      <c r="C6" s="579">
        <f>C7+C8+C9</f>
        <v>899394.541</v>
      </c>
      <c r="D6" s="579">
        <f>D7+D8+D9</f>
        <v>56843.59291666667</v>
      </c>
      <c r="E6" s="579">
        <f aca="true" t="shared" si="1" ref="E6:O6">E7+E8+E9</f>
        <v>56843.59291666667</v>
      </c>
      <c r="F6" s="579">
        <f t="shared" si="1"/>
        <v>163469.59291666668</v>
      </c>
      <c r="G6" s="579">
        <f t="shared" si="1"/>
        <v>56843.59291666667</v>
      </c>
      <c r="H6" s="579">
        <f t="shared" si="1"/>
        <v>56843.59291666667</v>
      </c>
      <c r="I6" s="579">
        <f t="shared" si="1"/>
        <v>56843.59291666667</v>
      </c>
      <c r="J6" s="579">
        <f t="shared" si="1"/>
        <v>56843.59291666667</v>
      </c>
      <c r="K6" s="579">
        <f t="shared" si="1"/>
        <v>56843.59291666667</v>
      </c>
      <c r="L6" s="579">
        <f t="shared" si="1"/>
        <v>157612.59291666668</v>
      </c>
      <c r="M6" s="579">
        <f t="shared" si="1"/>
        <v>56843.59291666667</v>
      </c>
      <c r="N6" s="579">
        <f t="shared" si="1"/>
        <v>56843.59291666667</v>
      </c>
      <c r="O6" s="580">
        <f t="shared" si="1"/>
        <v>56843.59291666667</v>
      </c>
      <c r="P6" s="575">
        <f aca="true" t="shared" si="2" ref="P6:P30">SUM(D6:O6)</f>
        <v>889518.1149999999</v>
      </c>
      <c r="Q6" s="576"/>
      <c r="R6" s="576"/>
      <c r="S6" s="576"/>
      <c r="T6" s="576"/>
      <c r="U6" s="576"/>
      <c r="V6" s="576"/>
      <c r="W6" s="576"/>
    </row>
    <row r="7" spans="1:23" ht="21" customHeight="1">
      <c r="A7" s="577"/>
      <c r="B7" s="578" t="s">
        <v>10</v>
      </c>
      <c r="C7" s="579">
        <f>'sajátos 15'!I44</f>
        <v>628048.998</v>
      </c>
      <c r="D7" s="581">
        <f>$C$7/12</f>
        <v>52337.4165</v>
      </c>
      <c r="E7" s="581">
        <f aca="true" t="shared" si="3" ref="E7:O7">$C$7/12</f>
        <v>52337.4165</v>
      </c>
      <c r="F7" s="581">
        <f t="shared" si="3"/>
        <v>52337.4165</v>
      </c>
      <c r="G7" s="581">
        <f t="shared" si="3"/>
        <v>52337.4165</v>
      </c>
      <c r="H7" s="581">
        <f t="shared" si="3"/>
        <v>52337.4165</v>
      </c>
      <c r="I7" s="581">
        <f t="shared" si="3"/>
        <v>52337.4165</v>
      </c>
      <c r="J7" s="581">
        <f t="shared" si="3"/>
        <v>52337.4165</v>
      </c>
      <c r="K7" s="581">
        <f t="shared" si="3"/>
        <v>52337.4165</v>
      </c>
      <c r="L7" s="581">
        <f t="shared" si="3"/>
        <v>52337.4165</v>
      </c>
      <c r="M7" s="581">
        <f t="shared" si="3"/>
        <v>52337.4165</v>
      </c>
      <c r="N7" s="581">
        <f t="shared" si="3"/>
        <v>52337.4165</v>
      </c>
      <c r="O7" s="582">
        <f t="shared" si="3"/>
        <v>52337.4165</v>
      </c>
      <c r="P7" s="575">
        <f t="shared" si="2"/>
        <v>628048.998</v>
      </c>
      <c r="Q7" s="576"/>
      <c r="R7" s="576"/>
      <c r="S7" s="576"/>
      <c r="T7" s="576"/>
      <c r="U7" s="576"/>
      <c r="V7" s="576"/>
      <c r="W7" s="576"/>
    </row>
    <row r="8" spans="1:23" ht="21" customHeight="1">
      <c r="A8" s="577"/>
      <c r="B8" s="578" t="s">
        <v>421</v>
      </c>
      <c r="C8" s="579">
        <f>'sajátos 15'!I48</f>
        <v>41606.117</v>
      </c>
      <c r="D8" s="581">
        <f>$C$8/12</f>
        <v>3467.1764166666667</v>
      </c>
      <c r="E8" s="581">
        <f aca="true" t="shared" si="4" ref="E8:O8">$C$8/12</f>
        <v>3467.1764166666667</v>
      </c>
      <c r="F8" s="581">
        <f t="shared" si="4"/>
        <v>3467.1764166666667</v>
      </c>
      <c r="G8" s="581">
        <f t="shared" si="4"/>
        <v>3467.1764166666667</v>
      </c>
      <c r="H8" s="581">
        <f t="shared" si="4"/>
        <v>3467.1764166666667</v>
      </c>
      <c r="I8" s="581">
        <f t="shared" si="4"/>
        <v>3467.1764166666667</v>
      </c>
      <c r="J8" s="581">
        <f t="shared" si="4"/>
        <v>3467.1764166666667</v>
      </c>
      <c r="K8" s="581">
        <f t="shared" si="4"/>
        <v>3467.1764166666667</v>
      </c>
      <c r="L8" s="581">
        <f t="shared" si="4"/>
        <v>3467.1764166666667</v>
      </c>
      <c r="M8" s="581">
        <f t="shared" si="4"/>
        <v>3467.1764166666667</v>
      </c>
      <c r="N8" s="581">
        <f t="shared" si="4"/>
        <v>3467.1764166666667</v>
      </c>
      <c r="O8" s="582">
        <f t="shared" si="4"/>
        <v>3467.1764166666667</v>
      </c>
      <c r="P8" s="575">
        <f t="shared" si="2"/>
        <v>41606.117</v>
      </c>
      <c r="Q8" s="576"/>
      <c r="R8" s="576"/>
      <c r="S8" s="576"/>
      <c r="T8" s="576"/>
      <c r="U8" s="576"/>
      <c r="V8" s="576"/>
      <c r="W8" s="576"/>
    </row>
    <row r="9" spans="1:23" ht="21" customHeight="1">
      <c r="A9" s="577"/>
      <c r="B9" s="578" t="s">
        <v>422</v>
      </c>
      <c r="C9" s="579">
        <f>'sajátos 15'!I38</f>
        <v>229739.426</v>
      </c>
      <c r="D9" s="583">
        <v>1039</v>
      </c>
      <c r="E9" s="583">
        <v>1039</v>
      </c>
      <c r="F9" s="583">
        <f>98058+9607</f>
        <v>107665</v>
      </c>
      <c r="G9" s="583">
        <v>1039</v>
      </c>
      <c r="H9" s="583">
        <v>1039</v>
      </c>
      <c r="I9" s="583">
        <v>1039</v>
      </c>
      <c r="J9" s="583">
        <v>1039</v>
      </c>
      <c r="K9" s="583">
        <v>1039</v>
      </c>
      <c r="L9" s="583">
        <v>101808</v>
      </c>
      <c r="M9" s="583">
        <v>1039</v>
      </c>
      <c r="N9" s="583">
        <v>1039</v>
      </c>
      <c r="O9" s="584">
        <v>1039</v>
      </c>
      <c r="P9" s="575">
        <f t="shared" si="2"/>
        <v>219863</v>
      </c>
      <c r="Q9" s="576"/>
      <c r="R9" s="576"/>
      <c r="S9" s="576"/>
      <c r="T9" s="576"/>
      <c r="U9" s="576"/>
      <c r="V9" s="576"/>
      <c r="W9" s="576"/>
    </row>
    <row r="10" spans="1:23" ht="21" customHeight="1">
      <c r="A10" s="577" t="s">
        <v>8</v>
      </c>
      <c r="B10" s="578" t="s">
        <v>423</v>
      </c>
      <c r="C10" s="579">
        <f>'[10]1'!$O$43</f>
        <v>725828.174</v>
      </c>
      <c r="D10" s="579">
        <f aca="true" t="shared" si="5" ref="D10:O10">SUM(D11:D13)</f>
        <v>60485.583333333336</v>
      </c>
      <c r="E10" s="579">
        <f t="shared" si="5"/>
        <v>60485.583333333336</v>
      </c>
      <c r="F10" s="579">
        <f t="shared" si="5"/>
        <v>60485.583333333336</v>
      </c>
      <c r="G10" s="579">
        <f t="shared" si="5"/>
        <v>60485.583333333336</v>
      </c>
      <c r="H10" s="579">
        <f t="shared" si="5"/>
        <v>60485.583333333336</v>
      </c>
      <c r="I10" s="579">
        <f t="shared" si="5"/>
        <v>60485.583333333336</v>
      </c>
      <c r="J10" s="579">
        <f t="shared" si="5"/>
        <v>60485.583333333336</v>
      </c>
      <c r="K10" s="579">
        <f t="shared" si="5"/>
        <v>60485.583333333336</v>
      </c>
      <c r="L10" s="579">
        <f t="shared" si="5"/>
        <v>60485.583333333336</v>
      </c>
      <c r="M10" s="579">
        <f t="shared" si="5"/>
        <v>60485.583333333336</v>
      </c>
      <c r="N10" s="579">
        <f t="shared" si="5"/>
        <v>60485.583333333336</v>
      </c>
      <c r="O10" s="580">
        <f t="shared" si="5"/>
        <v>60485.583333333336</v>
      </c>
      <c r="P10" s="575">
        <f t="shared" si="2"/>
        <v>725827.0000000001</v>
      </c>
      <c r="Q10" s="576"/>
      <c r="R10" s="576"/>
      <c r="S10" s="576"/>
      <c r="T10" s="576"/>
      <c r="U10" s="576"/>
      <c r="V10" s="576"/>
      <c r="W10" s="576"/>
    </row>
    <row r="11" spans="1:23" ht="21" customHeight="1">
      <c r="A11" s="577"/>
      <c r="B11" s="578" t="s">
        <v>424</v>
      </c>
      <c r="C11" s="579">
        <v>646788</v>
      </c>
      <c r="D11" s="583">
        <f>$C$11/12</f>
        <v>53899</v>
      </c>
      <c r="E11" s="583">
        <f aca="true" t="shared" si="6" ref="E11:O11">$C$11/12</f>
        <v>53899</v>
      </c>
      <c r="F11" s="583">
        <f t="shared" si="6"/>
        <v>53899</v>
      </c>
      <c r="G11" s="583">
        <f t="shared" si="6"/>
        <v>53899</v>
      </c>
      <c r="H11" s="583">
        <f t="shared" si="6"/>
        <v>53899</v>
      </c>
      <c r="I11" s="583">
        <f t="shared" si="6"/>
        <v>53899</v>
      </c>
      <c r="J11" s="583">
        <f t="shared" si="6"/>
        <v>53899</v>
      </c>
      <c r="K11" s="583">
        <f t="shared" si="6"/>
        <v>53899</v>
      </c>
      <c r="L11" s="583">
        <f t="shared" si="6"/>
        <v>53899</v>
      </c>
      <c r="M11" s="583">
        <f t="shared" si="6"/>
        <v>53899</v>
      </c>
      <c r="N11" s="583">
        <f t="shared" si="6"/>
        <v>53899</v>
      </c>
      <c r="O11" s="584">
        <f t="shared" si="6"/>
        <v>53899</v>
      </c>
      <c r="P11" s="575">
        <f t="shared" si="2"/>
        <v>646788</v>
      </c>
      <c r="Q11" s="576"/>
      <c r="R11" s="576"/>
      <c r="S11" s="576"/>
      <c r="T11" s="576"/>
      <c r="U11" s="576"/>
      <c r="V11" s="576"/>
      <c r="W11" s="576"/>
    </row>
    <row r="12" spans="1:23" ht="21" customHeight="1">
      <c r="A12" s="577"/>
      <c r="B12" s="578" t="s">
        <v>12</v>
      </c>
      <c r="C12" s="579">
        <f>'[7]1'!$M$18</f>
        <v>0</v>
      </c>
      <c r="D12" s="583"/>
      <c r="E12" s="585"/>
      <c r="F12" s="583"/>
      <c r="G12" s="583"/>
      <c r="H12" s="583"/>
      <c r="I12" s="583"/>
      <c r="J12" s="583"/>
      <c r="K12" s="583"/>
      <c r="L12" s="583"/>
      <c r="M12" s="583"/>
      <c r="N12" s="583"/>
      <c r="O12" s="584"/>
      <c r="P12" s="575"/>
      <c r="Q12" s="576"/>
      <c r="R12" s="576"/>
      <c r="S12" s="576"/>
      <c r="T12" s="576"/>
      <c r="U12" s="576"/>
      <c r="V12" s="576"/>
      <c r="W12" s="576"/>
    </row>
    <row r="13" spans="1:23" ht="21" customHeight="1">
      <c r="A13" s="577"/>
      <c r="B13" s="578" t="s">
        <v>425</v>
      </c>
      <c r="C13" s="579">
        <v>79039</v>
      </c>
      <c r="D13" s="583">
        <f>$C$13/12</f>
        <v>6586.583333333333</v>
      </c>
      <c r="E13" s="583">
        <f aca="true" t="shared" si="7" ref="E13:O13">$C$13/12</f>
        <v>6586.583333333333</v>
      </c>
      <c r="F13" s="583">
        <f t="shared" si="7"/>
        <v>6586.583333333333</v>
      </c>
      <c r="G13" s="583">
        <f t="shared" si="7"/>
        <v>6586.583333333333</v>
      </c>
      <c r="H13" s="583">
        <f t="shared" si="7"/>
        <v>6586.583333333333</v>
      </c>
      <c r="I13" s="583">
        <f t="shared" si="7"/>
        <v>6586.583333333333</v>
      </c>
      <c r="J13" s="583">
        <f t="shared" si="7"/>
        <v>6586.583333333333</v>
      </c>
      <c r="K13" s="583">
        <f t="shared" si="7"/>
        <v>6586.583333333333</v>
      </c>
      <c r="L13" s="583">
        <f t="shared" si="7"/>
        <v>6586.583333333333</v>
      </c>
      <c r="M13" s="583">
        <f t="shared" si="7"/>
        <v>6586.583333333333</v>
      </c>
      <c r="N13" s="583">
        <f t="shared" si="7"/>
        <v>6586.583333333333</v>
      </c>
      <c r="O13" s="584">
        <f t="shared" si="7"/>
        <v>6586.583333333333</v>
      </c>
      <c r="P13" s="575">
        <f t="shared" si="2"/>
        <v>79039</v>
      </c>
      <c r="Q13" s="576"/>
      <c r="R13" s="576"/>
      <c r="S13" s="576"/>
      <c r="T13" s="576"/>
      <c r="U13" s="576"/>
      <c r="V13" s="576"/>
      <c r="W13" s="576"/>
    </row>
    <row r="14" spans="1:23" ht="21" customHeight="1">
      <c r="A14" s="577" t="s">
        <v>40</v>
      </c>
      <c r="B14" s="578" t="s">
        <v>426</v>
      </c>
      <c r="C14" s="579"/>
      <c r="D14" s="583">
        <f>$C$14/12</f>
        <v>0</v>
      </c>
      <c r="E14" s="583">
        <f aca="true" t="shared" si="8" ref="E14:O14">$C$14/12</f>
        <v>0</v>
      </c>
      <c r="F14" s="583">
        <f t="shared" si="8"/>
        <v>0</v>
      </c>
      <c r="G14" s="583">
        <f t="shared" si="8"/>
        <v>0</v>
      </c>
      <c r="H14" s="583">
        <f t="shared" si="8"/>
        <v>0</v>
      </c>
      <c r="I14" s="583">
        <f t="shared" si="8"/>
        <v>0</v>
      </c>
      <c r="J14" s="583">
        <f t="shared" si="8"/>
        <v>0</v>
      </c>
      <c r="K14" s="583">
        <f t="shared" si="8"/>
        <v>0</v>
      </c>
      <c r="L14" s="583">
        <f t="shared" si="8"/>
        <v>0</v>
      </c>
      <c r="M14" s="583">
        <f t="shared" si="8"/>
        <v>0</v>
      </c>
      <c r="N14" s="583">
        <f t="shared" si="8"/>
        <v>0</v>
      </c>
      <c r="O14" s="584">
        <f t="shared" si="8"/>
        <v>0</v>
      </c>
      <c r="P14" s="575">
        <f t="shared" si="2"/>
        <v>0</v>
      </c>
      <c r="Q14" s="576"/>
      <c r="R14" s="576"/>
      <c r="S14" s="576"/>
      <c r="T14" s="576"/>
      <c r="U14" s="576"/>
      <c r="V14" s="576"/>
      <c r="W14" s="576"/>
    </row>
    <row r="15" spans="1:23" ht="21" customHeight="1">
      <c r="A15" s="577" t="s">
        <v>17</v>
      </c>
      <c r="B15" s="578" t="s">
        <v>427</v>
      </c>
      <c r="C15" s="579">
        <f>'[10]1'!$O$44</f>
        <v>129809</v>
      </c>
      <c r="D15" s="579">
        <f>D16</f>
        <v>10817.416666666666</v>
      </c>
      <c r="E15" s="579">
        <f aca="true" t="shared" si="9" ref="E15:O15">E16+E17</f>
        <v>10817.416666666666</v>
      </c>
      <c r="F15" s="579">
        <f t="shared" si="9"/>
        <v>10817.416666666666</v>
      </c>
      <c r="G15" s="579">
        <f t="shared" si="9"/>
        <v>10817.416666666666</v>
      </c>
      <c r="H15" s="579">
        <f t="shared" si="9"/>
        <v>10817.416666666666</v>
      </c>
      <c r="I15" s="579">
        <f t="shared" si="9"/>
        <v>10817.416666666666</v>
      </c>
      <c r="J15" s="579">
        <f t="shared" si="9"/>
        <v>10817.416666666666</v>
      </c>
      <c r="K15" s="579">
        <f t="shared" si="9"/>
        <v>10817.416666666666</v>
      </c>
      <c r="L15" s="579">
        <f t="shared" si="9"/>
        <v>10817.416666666666</v>
      </c>
      <c r="M15" s="579">
        <f t="shared" si="9"/>
        <v>10817.416666666666</v>
      </c>
      <c r="N15" s="579">
        <f t="shared" si="9"/>
        <v>10817.416666666666</v>
      </c>
      <c r="O15" s="580">
        <f t="shared" si="9"/>
        <v>10817.416666666666</v>
      </c>
      <c r="P15" s="575">
        <f t="shared" si="2"/>
        <v>129809.00000000001</v>
      </c>
      <c r="Q15" s="576"/>
      <c r="R15" s="576"/>
      <c r="S15" s="576"/>
      <c r="T15" s="576"/>
      <c r="U15" s="576"/>
      <c r="V15" s="576"/>
      <c r="W15" s="576"/>
    </row>
    <row r="16" spans="1:23" ht="21" customHeight="1">
      <c r="A16" s="577"/>
      <c r="B16" s="578" t="s">
        <v>428</v>
      </c>
      <c r="C16" s="579">
        <v>129809</v>
      </c>
      <c r="D16" s="583">
        <f>$C$16/12</f>
        <v>10817.416666666666</v>
      </c>
      <c r="E16" s="583">
        <f aca="true" t="shared" si="10" ref="E16:O16">$C$16/12</f>
        <v>10817.416666666666</v>
      </c>
      <c r="F16" s="583">
        <f t="shared" si="10"/>
        <v>10817.416666666666</v>
      </c>
      <c r="G16" s="583">
        <f t="shared" si="10"/>
        <v>10817.416666666666</v>
      </c>
      <c r="H16" s="583">
        <f t="shared" si="10"/>
        <v>10817.416666666666</v>
      </c>
      <c r="I16" s="583">
        <f t="shared" si="10"/>
        <v>10817.416666666666</v>
      </c>
      <c r="J16" s="583">
        <f t="shared" si="10"/>
        <v>10817.416666666666</v>
      </c>
      <c r="K16" s="583">
        <f t="shared" si="10"/>
        <v>10817.416666666666</v>
      </c>
      <c r="L16" s="583">
        <f t="shared" si="10"/>
        <v>10817.416666666666</v>
      </c>
      <c r="M16" s="583">
        <f t="shared" si="10"/>
        <v>10817.416666666666</v>
      </c>
      <c r="N16" s="583">
        <f t="shared" si="10"/>
        <v>10817.416666666666</v>
      </c>
      <c r="O16" s="584">
        <f t="shared" si="10"/>
        <v>10817.416666666666</v>
      </c>
      <c r="P16" s="575">
        <f t="shared" si="2"/>
        <v>129809.00000000001</v>
      </c>
      <c r="Q16" s="576"/>
      <c r="R16" s="576"/>
      <c r="S16" s="576"/>
      <c r="T16" s="576"/>
      <c r="U16" s="576"/>
      <c r="V16" s="576"/>
      <c r="W16" s="576"/>
    </row>
    <row r="17" spans="1:23" ht="21" customHeight="1" thickBot="1">
      <c r="A17" s="586"/>
      <c r="B17" s="587" t="s">
        <v>26</v>
      </c>
      <c r="C17" s="588">
        <v>0</v>
      </c>
      <c r="D17" s="589">
        <f>$C$17/12</f>
        <v>0</v>
      </c>
      <c r="E17" s="589">
        <f aca="true" t="shared" si="11" ref="E17:O17">$C$17/12</f>
        <v>0</v>
      </c>
      <c r="F17" s="589">
        <f t="shared" si="11"/>
        <v>0</v>
      </c>
      <c r="G17" s="589">
        <f t="shared" si="11"/>
        <v>0</v>
      </c>
      <c r="H17" s="589">
        <f t="shared" si="11"/>
        <v>0</v>
      </c>
      <c r="I17" s="589">
        <f t="shared" si="11"/>
        <v>0</v>
      </c>
      <c r="J17" s="589">
        <f t="shared" si="11"/>
        <v>0</v>
      </c>
      <c r="K17" s="589">
        <f t="shared" si="11"/>
        <v>0</v>
      </c>
      <c r="L17" s="589">
        <f t="shared" si="11"/>
        <v>0</v>
      </c>
      <c r="M17" s="589">
        <f t="shared" si="11"/>
        <v>0</v>
      </c>
      <c r="N17" s="589">
        <f t="shared" si="11"/>
        <v>0</v>
      </c>
      <c r="O17" s="590">
        <f t="shared" si="11"/>
        <v>0</v>
      </c>
      <c r="P17" s="575">
        <f t="shared" si="2"/>
        <v>0</v>
      </c>
      <c r="Q17" s="576"/>
      <c r="R17" s="576"/>
      <c r="S17" s="576"/>
      <c r="T17" s="576"/>
      <c r="U17" s="576"/>
      <c r="V17" s="576"/>
      <c r="W17" s="576"/>
    </row>
    <row r="18" spans="1:23" ht="21" customHeight="1" thickBot="1">
      <c r="A18" s="591" t="s">
        <v>31</v>
      </c>
      <c r="B18" s="592" t="s">
        <v>429</v>
      </c>
      <c r="C18" s="593">
        <f>C5+C6+C10+C14+C15</f>
        <v>1850110.7149999999</v>
      </c>
      <c r="D18" s="593">
        <f>D15+D14+D10+D6+D5</f>
        <v>136069.84291666668</v>
      </c>
      <c r="E18" s="593">
        <f aca="true" t="shared" si="12" ref="E18:O18">E15+E14+E10+E6+E5</f>
        <v>136069.84291666668</v>
      </c>
      <c r="F18" s="593">
        <f t="shared" si="12"/>
        <v>242695.84291666668</v>
      </c>
      <c r="G18" s="593">
        <f t="shared" si="12"/>
        <v>136069.84291666668</v>
      </c>
      <c r="H18" s="593">
        <f t="shared" si="12"/>
        <v>136069.84291666668</v>
      </c>
      <c r="I18" s="593">
        <f t="shared" si="12"/>
        <v>136069.84291666668</v>
      </c>
      <c r="J18" s="593">
        <f t="shared" si="12"/>
        <v>136069.84291666668</v>
      </c>
      <c r="K18" s="593">
        <f t="shared" si="12"/>
        <v>136069.84291666668</v>
      </c>
      <c r="L18" s="593">
        <f t="shared" si="12"/>
        <v>236838.84291666668</v>
      </c>
      <c r="M18" s="593">
        <f t="shared" si="12"/>
        <v>136069.84291666668</v>
      </c>
      <c r="N18" s="593">
        <f t="shared" si="12"/>
        <v>136069.84291666668</v>
      </c>
      <c r="O18" s="594">
        <f t="shared" si="12"/>
        <v>136069.84291666668</v>
      </c>
      <c r="P18" s="575">
        <f t="shared" si="2"/>
        <v>1840233.1150000005</v>
      </c>
      <c r="Q18" s="576"/>
      <c r="R18" s="576"/>
      <c r="S18" s="576"/>
      <c r="T18" s="576"/>
      <c r="U18" s="576"/>
      <c r="V18" s="576"/>
      <c r="W18" s="576"/>
    </row>
    <row r="19" spans="1:23" ht="21" customHeight="1">
      <c r="A19" s="569"/>
      <c r="B19" s="570"/>
      <c r="C19" s="571"/>
      <c r="D19" s="573"/>
      <c r="E19" s="595"/>
      <c r="F19" s="571"/>
      <c r="G19" s="573"/>
      <c r="H19" s="573"/>
      <c r="I19" s="573"/>
      <c r="J19" s="573"/>
      <c r="K19" s="573"/>
      <c r="L19" s="573"/>
      <c r="M19" s="573"/>
      <c r="N19" s="573"/>
      <c r="O19" s="574"/>
      <c r="P19" s="575">
        <f t="shared" si="2"/>
        <v>0</v>
      </c>
      <c r="Q19" s="576"/>
      <c r="R19" s="576"/>
      <c r="S19" s="576"/>
      <c r="T19" s="576"/>
      <c r="U19" s="576"/>
      <c r="V19" s="576"/>
      <c r="W19" s="576"/>
    </row>
    <row r="20" spans="1:23" ht="21" customHeight="1">
      <c r="A20" s="577" t="s">
        <v>32</v>
      </c>
      <c r="B20" s="578" t="s">
        <v>430</v>
      </c>
      <c r="C20" s="579">
        <f>'[10]1'!$O$48</f>
        <v>114335</v>
      </c>
      <c r="D20" s="579">
        <f aca="true" t="shared" si="13" ref="D20:O20">D21+D22+D23</f>
        <v>0</v>
      </c>
      <c r="E20" s="579">
        <f t="shared" si="13"/>
        <v>0</v>
      </c>
      <c r="F20" s="579">
        <f t="shared" si="13"/>
        <v>0</v>
      </c>
      <c r="G20" s="579">
        <f t="shared" si="13"/>
        <v>0</v>
      </c>
      <c r="H20" s="579">
        <f t="shared" si="13"/>
        <v>0</v>
      </c>
      <c r="I20" s="579">
        <f t="shared" si="13"/>
        <v>0</v>
      </c>
      <c r="J20" s="579">
        <f t="shared" si="13"/>
        <v>10000</v>
      </c>
      <c r="K20" s="579">
        <f t="shared" si="13"/>
        <v>0</v>
      </c>
      <c r="L20" s="579">
        <f t="shared" si="13"/>
        <v>0</v>
      </c>
      <c r="M20" s="579">
        <f t="shared" si="13"/>
        <v>0</v>
      </c>
      <c r="N20" s="579">
        <f t="shared" si="13"/>
        <v>0</v>
      </c>
      <c r="O20" s="580">
        <f t="shared" si="13"/>
        <v>0</v>
      </c>
      <c r="P20" s="575">
        <f t="shared" si="2"/>
        <v>10000</v>
      </c>
      <c r="Q20" s="576"/>
      <c r="R20" s="576"/>
      <c r="S20" s="576"/>
      <c r="T20" s="576"/>
      <c r="U20" s="576"/>
      <c r="V20" s="576"/>
      <c r="W20" s="576"/>
    </row>
    <row r="21" spans="1:23" ht="21" customHeight="1">
      <c r="A21" s="577"/>
      <c r="B21" s="578" t="s">
        <v>431</v>
      </c>
      <c r="C21" s="579">
        <v>0</v>
      </c>
      <c r="D21" s="583">
        <v>0</v>
      </c>
      <c r="E21" s="583">
        <v>0</v>
      </c>
      <c r="F21" s="585">
        <v>0</v>
      </c>
      <c r="G21" s="583">
        <v>0</v>
      </c>
      <c r="H21" s="585">
        <v>0</v>
      </c>
      <c r="I21" s="585">
        <v>0</v>
      </c>
      <c r="J21" s="585">
        <v>0</v>
      </c>
      <c r="K21" s="585">
        <v>0</v>
      </c>
      <c r="L21" s="585">
        <v>0</v>
      </c>
      <c r="M21" s="583">
        <v>0</v>
      </c>
      <c r="N21" s="585">
        <v>0</v>
      </c>
      <c r="O21" s="596">
        <v>0</v>
      </c>
      <c r="P21" s="575">
        <f t="shared" si="2"/>
        <v>0</v>
      </c>
      <c r="Q21" s="576"/>
      <c r="R21" s="576"/>
      <c r="S21" s="576"/>
      <c r="T21" s="576"/>
      <c r="U21" s="576"/>
      <c r="V21" s="576"/>
      <c r="W21" s="576"/>
    </row>
    <row r="22" spans="1:23" ht="21" customHeight="1">
      <c r="A22" s="577"/>
      <c r="B22" s="578" t="s">
        <v>432</v>
      </c>
      <c r="C22" s="579">
        <v>10000</v>
      </c>
      <c r="D22" s="583"/>
      <c r="E22" s="585"/>
      <c r="F22" s="583"/>
      <c r="G22" s="583"/>
      <c r="H22" s="583"/>
      <c r="I22" s="583"/>
      <c r="J22" s="583">
        <f>C22</f>
        <v>10000</v>
      </c>
      <c r="K22" s="583"/>
      <c r="L22" s="583"/>
      <c r="M22" s="583"/>
      <c r="N22" s="583"/>
      <c r="O22" s="584"/>
      <c r="P22" s="575">
        <f t="shared" si="2"/>
        <v>10000</v>
      </c>
      <c r="Q22" s="576"/>
      <c r="R22" s="576"/>
      <c r="S22" s="576"/>
      <c r="T22" s="576"/>
      <c r="U22" s="576"/>
      <c r="V22" s="576"/>
      <c r="W22" s="576"/>
    </row>
    <row r="23" spans="1:23" ht="21" customHeight="1">
      <c r="A23" s="577"/>
      <c r="B23" s="578" t="s">
        <v>433</v>
      </c>
      <c r="C23" s="579">
        <f>SUM(D23:O23)</f>
        <v>0</v>
      </c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4"/>
      <c r="P23" s="575">
        <f t="shared" si="2"/>
        <v>0</v>
      </c>
      <c r="Q23" s="576"/>
      <c r="R23" s="576"/>
      <c r="S23" s="576"/>
      <c r="T23" s="576"/>
      <c r="U23" s="576"/>
      <c r="V23" s="576"/>
      <c r="W23" s="576"/>
    </row>
    <row r="24" spans="1:23" ht="21" customHeight="1">
      <c r="A24" s="577" t="s">
        <v>33</v>
      </c>
      <c r="B24" s="578" t="s">
        <v>434</v>
      </c>
      <c r="C24" s="579">
        <f>Bevételek!M28</f>
        <v>10000</v>
      </c>
      <c r="D24" s="583"/>
      <c r="E24" s="585"/>
      <c r="F24" s="583"/>
      <c r="G24" s="583"/>
      <c r="H24" s="583"/>
      <c r="I24" s="583"/>
      <c r="J24" s="583"/>
      <c r="K24" s="583"/>
      <c r="L24" s="583"/>
      <c r="M24" s="583"/>
      <c r="N24" s="583"/>
      <c r="O24" s="584"/>
      <c r="P24" s="575">
        <f t="shared" si="2"/>
        <v>0</v>
      </c>
      <c r="Q24" s="576"/>
      <c r="R24" s="576"/>
      <c r="S24" s="576"/>
      <c r="T24" s="576"/>
      <c r="U24" s="576"/>
      <c r="V24" s="576"/>
      <c r="W24" s="576"/>
    </row>
    <row r="25" spans="1:23" ht="21" customHeight="1">
      <c r="A25" s="577" t="s">
        <v>34</v>
      </c>
      <c r="B25" s="578" t="s">
        <v>427</v>
      </c>
      <c r="C25" s="579">
        <v>0</v>
      </c>
      <c r="D25" s="583">
        <f>$C$25/12</f>
        <v>0</v>
      </c>
      <c r="E25" s="583">
        <f aca="true" t="shared" si="14" ref="E25:O25">$C$25/12</f>
        <v>0</v>
      </c>
      <c r="F25" s="583">
        <f t="shared" si="14"/>
        <v>0</v>
      </c>
      <c r="G25" s="583">
        <f t="shared" si="14"/>
        <v>0</v>
      </c>
      <c r="H25" s="583">
        <f t="shared" si="14"/>
        <v>0</v>
      </c>
      <c r="I25" s="583">
        <f t="shared" si="14"/>
        <v>0</v>
      </c>
      <c r="J25" s="583">
        <f t="shared" si="14"/>
        <v>0</v>
      </c>
      <c r="K25" s="583">
        <f t="shared" si="14"/>
        <v>0</v>
      </c>
      <c r="L25" s="583">
        <f t="shared" si="14"/>
        <v>0</v>
      </c>
      <c r="M25" s="583">
        <f t="shared" si="14"/>
        <v>0</v>
      </c>
      <c r="N25" s="583">
        <f t="shared" si="14"/>
        <v>0</v>
      </c>
      <c r="O25" s="584">
        <f t="shared" si="14"/>
        <v>0</v>
      </c>
      <c r="P25" s="575">
        <f t="shared" si="2"/>
        <v>0</v>
      </c>
      <c r="Q25" s="576"/>
      <c r="R25" s="576"/>
      <c r="S25" s="576"/>
      <c r="T25" s="576"/>
      <c r="U25" s="576"/>
      <c r="V25" s="576"/>
      <c r="W25" s="576"/>
    </row>
    <row r="26" spans="1:23" ht="21" customHeight="1">
      <c r="A26" s="577" t="s">
        <v>36</v>
      </c>
      <c r="B26" s="578" t="s">
        <v>435</v>
      </c>
      <c r="C26" s="579">
        <v>0</v>
      </c>
      <c r="D26" s="583">
        <f>$C$26/12</f>
        <v>0</v>
      </c>
      <c r="E26" s="583">
        <f aca="true" t="shared" si="15" ref="E26:O26">$C$26/12</f>
        <v>0</v>
      </c>
      <c r="F26" s="583">
        <f t="shared" si="15"/>
        <v>0</v>
      </c>
      <c r="G26" s="583">
        <f t="shared" si="15"/>
        <v>0</v>
      </c>
      <c r="H26" s="583">
        <f t="shared" si="15"/>
        <v>0</v>
      </c>
      <c r="I26" s="583">
        <f t="shared" si="15"/>
        <v>0</v>
      </c>
      <c r="J26" s="583">
        <f t="shared" si="15"/>
        <v>0</v>
      </c>
      <c r="K26" s="583">
        <f t="shared" si="15"/>
        <v>0</v>
      </c>
      <c r="L26" s="583">
        <f t="shared" si="15"/>
        <v>0</v>
      </c>
      <c r="M26" s="583">
        <f t="shared" si="15"/>
        <v>0</v>
      </c>
      <c r="N26" s="583">
        <f t="shared" si="15"/>
        <v>0</v>
      </c>
      <c r="O26" s="584">
        <f t="shared" si="15"/>
        <v>0</v>
      </c>
      <c r="P26" s="575">
        <f t="shared" si="2"/>
        <v>0</v>
      </c>
      <c r="Q26" s="576"/>
      <c r="R26" s="576"/>
      <c r="S26" s="576"/>
      <c r="T26" s="576"/>
      <c r="U26" s="576"/>
      <c r="V26" s="576"/>
      <c r="W26" s="576"/>
    </row>
    <row r="27" spans="1:23" ht="21" customHeight="1">
      <c r="A27" s="577" t="s">
        <v>37</v>
      </c>
      <c r="B27" s="578" t="s">
        <v>47</v>
      </c>
      <c r="C27" s="579">
        <f>'[7]1'!$M$42</f>
        <v>0</v>
      </c>
      <c r="D27" s="583"/>
      <c r="E27" s="585"/>
      <c r="F27" s="583"/>
      <c r="G27" s="583"/>
      <c r="H27" s="583"/>
      <c r="I27" s="583"/>
      <c r="J27" s="583"/>
      <c r="K27" s="583"/>
      <c r="L27" s="583"/>
      <c r="M27" s="583"/>
      <c r="N27" s="583"/>
      <c r="O27" s="584"/>
      <c r="P27" s="575">
        <f t="shared" si="2"/>
        <v>0</v>
      </c>
      <c r="Q27" s="576"/>
      <c r="R27" s="576"/>
      <c r="S27" s="576"/>
      <c r="T27" s="576"/>
      <c r="U27" s="576"/>
      <c r="V27" s="576"/>
      <c r="W27" s="576"/>
    </row>
    <row r="28" spans="1:23" ht="21" customHeight="1">
      <c r="A28" s="577" t="s">
        <v>38</v>
      </c>
      <c r="B28" s="578" t="s">
        <v>436</v>
      </c>
      <c r="C28" s="579">
        <f>Bevételek!M36</f>
        <v>766653</v>
      </c>
      <c r="D28" s="583">
        <v>65000</v>
      </c>
      <c r="E28" s="585">
        <v>6040</v>
      </c>
      <c r="F28" s="583"/>
      <c r="G28" s="583">
        <v>14930</v>
      </c>
      <c r="H28" s="583">
        <v>24000</v>
      </c>
      <c r="I28" s="583">
        <v>65000</v>
      </c>
      <c r="J28" s="583">
        <v>25000</v>
      </c>
      <c r="K28" s="583">
        <v>35000</v>
      </c>
      <c r="L28" s="583">
        <v>175811</v>
      </c>
      <c r="M28" s="583">
        <v>175812</v>
      </c>
      <c r="N28" s="583">
        <v>415000</v>
      </c>
      <c r="O28" s="584">
        <f>814118+162512</f>
        <v>976630</v>
      </c>
      <c r="P28" s="575">
        <f t="shared" si="2"/>
        <v>1978223</v>
      </c>
      <c r="Q28" s="576"/>
      <c r="R28" s="576"/>
      <c r="S28" s="576"/>
      <c r="T28" s="576"/>
      <c r="U28" s="576"/>
      <c r="V28" s="576"/>
      <c r="W28" s="576"/>
    </row>
    <row r="29" spans="1:24" s="600" customFormat="1" ht="21" customHeight="1" thickBot="1">
      <c r="A29" s="586" t="s">
        <v>39</v>
      </c>
      <c r="B29" s="597" t="s">
        <v>437</v>
      </c>
      <c r="C29" s="588">
        <f>C20+C24+C26+C27+C25+C28</f>
        <v>890988</v>
      </c>
      <c r="D29" s="588">
        <f>SUM(D27+D26+D24+D20+D25+D28)</f>
        <v>65000</v>
      </c>
      <c r="E29" s="588">
        <f aca="true" t="shared" si="16" ref="E29:O29">SUM(E27+E26+E24+E20+E25+E28)</f>
        <v>6040</v>
      </c>
      <c r="F29" s="588">
        <f t="shared" si="16"/>
        <v>0</v>
      </c>
      <c r="G29" s="588">
        <f t="shared" si="16"/>
        <v>14930</v>
      </c>
      <c r="H29" s="588">
        <f t="shared" si="16"/>
        <v>24000</v>
      </c>
      <c r="I29" s="588">
        <f t="shared" si="16"/>
        <v>65000</v>
      </c>
      <c r="J29" s="588">
        <f t="shared" si="16"/>
        <v>35000</v>
      </c>
      <c r="K29" s="588">
        <f t="shared" si="16"/>
        <v>35000</v>
      </c>
      <c r="L29" s="588">
        <f t="shared" si="16"/>
        <v>175811</v>
      </c>
      <c r="M29" s="588">
        <f t="shared" si="16"/>
        <v>175812</v>
      </c>
      <c r="N29" s="588">
        <f t="shared" si="16"/>
        <v>415000</v>
      </c>
      <c r="O29" s="598">
        <f t="shared" si="16"/>
        <v>976630</v>
      </c>
      <c r="P29" s="575">
        <f t="shared" si="2"/>
        <v>1988223</v>
      </c>
      <c r="Q29" s="576"/>
      <c r="R29" s="576"/>
      <c r="S29" s="576"/>
      <c r="T29" s="576"/>
      <c r="U29" s="576"/>
      <c r="V29" s="576"/>
      <c r="W29" s="576"/>
      <c r="X29" s="599"/>
    </row>
    <row r="30" spans="1:23" ht="21" customHeight="1" thickBot="1">
      <c r="A30" s="591" t="s">
        <v>69</v>
      </c>
      <c r="B30" s="592" t="s">
        <v>438</v>
      </c>
      <c r="C30" s="593">
        <f>C18+C29</f>
        <v>2741098.715</v>
      </c>
      <c r="D30" s="593">
        <f aca="true" t="shared" si="17" ref="D30:O30">SUM(D29+D18)</f>
        <v>201069.84291666668</v>
      </c>
      <c r="E30" s="593">
        <f t="shared" si="17"/>
        <v>142109.84291666668</v>
      </c>
      <c r="F30" s="593">
        <f t="shared" si="17"/>
        <v>242695.84291666668</v>
      </c>
      <c r="G30" s="593">
        <f t="shared" si="17"/>
        <v>150999.84291666668</v>
      </c>
      <c r="H30" s="593">
        <f t="shared" si="17"/>
        <v>160069.84291666668</v>
      </c>
      <c r="I30" s="593">
        <f t="shared" si="17"/>
        <v>201069.84291666668</v>
      </c>
      <c r="J30" s="593">
        <f t="shared" si="17"/>
        <v>171069.84291666668</v>
      </c>
      <c r="K30" s="593">
        <f t="shared" si="17"/>
        <v>171069.84291666668</v>
      </c>
      <c r="L30" s="593">
        <f t="shared" si="17"/>
        <v>412649.84291666665</v>
      </c>
      <c r="M30" s="593">
        <f t="shared" si="17"/>
        <v>311881.84291666665</v>
      </c>
      <c r="N30" s="593">
        <f t="shared" si="17"/>
        <v>551069.8429166666</v>
      </c>
      <c r="O30" s="594">
        <f t="shared" si="17"/>
        <v>1112699.8429166668</v>
      </c>
      <c r="P30" s="575">
        <f t="shared" si="2"/>
        <v>3828456.115</v>
      </c>
      <c r="Q30" s="576"/>
      <c r="R30" s="576"/>
      <c r="S30" s="576"/>
      <c r="T30" s="576"/>
      <c r="U30" s="576"/>
      <c r="V30" s="576"/>
      <c r="W30" s="576"/>
    </row>
    <row r="31" spans="2:23" ht="12.75"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R31" s="576"/>
      <c r="S31" s="576"/>
      <c r="T31" s="576"/>
      <c r="U31" s="576"/>
      <c r="V31" s="576"/>
      <c r="W31" s="576"/>
    </row>
    <row r="32" spans="2:23" ht="12.75">
      <c r="B32" s="555"/>
      <c r="D32" s="1047" t="s">
        <v>114</v>
      </c>
      <c r="E32" s="1048"/>
      <c r="F32" s="1048"/>
      <c r="G32" s="1048"/>
      <c r="H32" s="1048"/>
      <c r="I32" s="1048"/>
      <c r="J32" s="1048"/>
      <c r="K32" s="555"/>
      <c r="L32" s="555"/>
      <c r="M32" s="555"/>
      <c r="N32" s="555"/>
      <c r="O32" s="555"/>
      <c r="R32" s="576"/>
      <c r="S32" s="576"/>
      <c r="T32" s="576"/>
      <c r="U32" s="576"/>
      <c r="V32" s="576"/>
      <c r="W32" s="576"/>
    </row>
    <row r="33" spans="1:23" ht="21" customHeight="1">
      <c r="A33" s="558" t="s">
        <v>664</v>
      </c>
      <c r="B33" s="559"/>
      <c r="C33" s="560"/>
      <c r="D33" s="560"/>
      <c r="E33" s="561"/>
      <c r="F33" s="560"/>
      <c r="G33" s="560"/>
      <c r="H33" s="560"/>
      <c r="I33" s="560"/>
      <c r="J33" s="560"/>
      <c r="K33" s="560"/>
      <c r="L33" s="560"/>
      <c r="M33" s="560"/>
      <c r="N33" s="560"/>
      <c r="O33" s="601"/>
      <c r="P33" s="576"/>
      <c r="Q33" s="576"/>
      <c r="R33" s="576"/>
      <c r="S33" s="576"/>
      <c r="T33" s="576"/>
      <c r="U33" s="576"/>
      <c r="V33" s="576"/>
      <c r="W33" s="576"/>
    </row>
    <row r="34" spans="1:23" ht="21" customHeight="1" thickBot="1">
      <c r="A34" s="558" t="s">
        <v>439</v>
      </c>
      <c r="B34" s="559"/>
      <c r="C34" s="560"/>
      <c r="D34" s="560"/>
      <c r="E34" s="561"/>
      <c r="F34" s="560"/>
      <c r="G34" s="560"/>
      <c r="H34" s="560"/>
      <c r="I34" s="560"/>
      <c r="J34" s="560"/>
      <c r="K34" s="560"/>
      <c r="L34" s="560"/>
      <c r="M34" s="560"/>
      <c r="N34" s="560"/>
      <c r="O34" s="601"/>
      <c r="P34" s="576"/>
      <c r="Q34" s="576"/>
      <c r="R34" s="576"/>
      <c r="S34" s="576"/>
      <c r="T34" s="576"/>
      <c r="U34" s="576"/>
      <c r="V34" s="576"/>
      <c r="W34" s="576"/>
    </row>
    <row r="35" spans="1:23" ht="21" customHeight="1" thickBot="1">
      <c r="A35" s="602"/>
      <c r="B35" s="603" t="s">
        <v>440</v>
      </c>
      <c r="C35" s="604" t="s">
        <v>406</v>
      </c>
      <c r="D35" s="604" t="s">
        <v>407</v>
      </c>
      <c r="E35" s="605" t="s">
        <v>408</v>
      </c>
      <c r="F35" s="604" t="s">
        <v>409</v>
      </c>
      <c r="G35" s="604" t="s">
        <v>410</v>
      </c>
      <c r="H35" s="604" t="s">
        <v>411</v>
      </c>
      <c r="I35" s="604" t="s">
        <v>412</v>
      </c>
      <c r="J35" s="604" t="s">
        <v>413</v>
      </c>
      <c r="K35" s="604" t="s">
        <v>414</v>
      </c>
      <c r="L35" s="604" t="s">
        <v>415</v>
      </c>
      <c r="M35" s="604" t="s">
        <v>416</v>
      </c>
      <c r="N35" s="606" t="s">
        <v>417</v>
      </c>
      <c r="O35" s="607" t="s">
        <v>418</v>
      </c>
      <c r="P35" s="567"/>
      <c r="Q35" s="567"/>
      <c r="R35" s="576"/>
      <c r="S35" s="576"/>
      <c r="T35" s="576"/>
      <c r="U35" s="576"/>
      <c r="V35" s="576"/>
      <c r="W35" s="576"/>
    </row>
    <row r="36" spans="1:23" ht="21" customHeight="1">
      <c r="A36" s="608" t="s">
        <v>136</v>
      </c>
      <c r="B36" s="609" t="s">
        <v>441</v>
      </c>
      <c r="C36" s="610">
        <f>Kiadás!J10</f>
        <v>859698.0730000001</v>
      </c>
      <c r="D36" s="611">
        <f>$C$36/12</f>
        <v>71641.50608333334</v>
      </c>
      <c r="E36" s="611">
        <f aca="true" t="shared" si="18" ref="E36:O36">$C$36/12</f>
        <v>71641.50608333334</v>
      </c>
      <c r="F36" s="611">
        <f t="shared" si="18"/>
        <v>71641.50608333334</v>
      </c>
      <c r="G36" s="611">
        <f t="shared" si="18"/>
        <v>71641.50608333334</v>
      </c>
      <c r="H36" s="611">
        <f t="shared" si="18"/>
        <v>71641.50608333334</v>
      </c>
      <c r="I36" s="611">
        <f t="shared" si="18"/>
        <v>71641.50608333334</v>
      </c>
      <c r="J36" s="611">
        <f t="shared" si="18"/>
        <v>71641.50608333334</v>
      </c>
      <c r="K36" s="611">
        <f t="shared" si="18"/>
        <v>71641.50608333334</v>
      </c>
      <c r="L36" s="611">
        <f t="shared" si="18"/>
        <v>71641.50608333334</v>
      </c>
      <c r="M36" s="611">
        <f t="shared" si="18"/>
        <v>71641.50608333334</v>
      </c>
      <c r="N36" s="611">
        <f t="shared" si="18"/>
        <v>71641.50608333334</v>
      </c>
      <c r="O36" s="612">
        <f t="shared" si="18"/>
        <v>71641.50608333334</v>
      </c>
      <c r="P36" s="575">
        <f>SUM(D36:O36)</f>
        <v>859698.0730000003</v>
      </c>
      <c r="Q36" s="576"/>
      <c r="R36" s="576"/>
      <c r="S36" s="576"/>
      <c r="T36" s="576"/>
      <c r="U36" s="576"/>
      <c r="V36" s="576"/>
      <c r="W36" s="576"/>
    </row>
    <row r="37" spans="1:23" ht="21" customHeight="1">
      <c r="A37" s="613" t="s">
        <v>138</v>
      </c>
      <c r="B37" s="614" t="s">
        <v>442</v>
      </c>
      <c r="C37" s="615">
        <f>Kiadás!J11</f>
        <v>221777.28009</v>
      </c>
      <c r="D37" s="616">
        <f>$C$37/12</f>
        <v>18481.440007499998</v>
      </c>
      <c r="E37" s="616">
        <f aca="true" t="shared" si="19" ref="E37:O37">$C$37/12</f>
        <v>18481.440007499998</v>
      </c>
      <c r="F37" s="616">
        <f t="shared" si="19"/>
        <v>18481.440007499998</v>
      </c>
      <c r="G37" s="616">
        <f t="shared" si="19"/>
        <v>18481.440007499998</v>
      </c>
      <c r="H37" s="616">
        <f t="shared" si="19"/>
        <v>18481.440007499998</v>
      </c>
      <c r="I37" s="616">
        <f t="shared" si="19"/>
        <v>18481.440007499998</v>
      </c>
      <c r="J37" s="616">
        <f t="shared" si="19"/>
        <v>18481.440007499998</v>
      </c>
      <c r="K37" s="616">
        <f t="shared" si="19"/>
        <v>18481.440007499998</v>
      </c>
      <c r="L37" s="616">
        <f t="shared" si="19"/>
        <v>18481.440007499998</v>
      </c>
      <c r="M37" s="616">
        <f t="shared" si="19"/>
        <v>18481.440007499998</v>
      </c>
      <c r="N37" s="616">
        <f t="shared" si="19"/>
        <v>18481.440007499998</v>
      </c>
      <c r="O37" s="617">
        <f t="shared" si="19"/>
        <v>18481.440007499998</v>
      </c>
      <c r="P37" s="575">
        <f aca="true" t="shared" si="20" ref="P37:P52">SUM(D37:O37)</f>
        <v>221777.28009</v>
      </c>
      <c r="Q37" s="576"/>
      <c r="R37" s="576"/>
      <c r="S37" s="576"/>
      <c r="T37" s="576"/>
      <c r="U37" s="576"/>
      <c r="V37" s="576"/>
      <c r="W37" s="576"/>
    </row>
    <row r="38" spans="1:23" ht="21" customHeight="1">
      <c r="A38" s="613" t="s">
        <v>140</v>
      </c>
      <c r="B38" s="614" t="s">
        <v>443</v>
      </c>
      <c r="C38" s="615">
        <f>Kiadás!J12</f>
        <v>700171.984648</v>
      </c>
      <c r="D38" s="616">
        <f>$C$38/12</f>
        <v>58347.665387333334</v>
      </c>
      <c r="E38" s="616">
        <f aca="true" t="shared" si="21" ref="E38:O38">$C$38/12</f>
        <v>58347.665387333334</v>
      </c>
      <c r="F38" s="616">
        <f t="shared" si="21"/>
        <v>58347.665387333334</v>
      </c>
      <c r="G38" s="616">
        <f t="shared" si="21"/>
        <v>58347.665387333334</v>
      </c>
      <c r="H38" s="616">
        <f t="shared" si="21"/>
        <v>58347.665387333334</v>
      </c>
      <c r="I38" s="616">
        <f t="shared" si="21"/>
        <v>58347.665387333334</v>
      </c>
      <c r="J38" s="616">
        <f t="shared" si="21"/>
        <v>58347.665387333334</v>
      </c>
      <c r="K38" s="616">
        <f t="shared" si="21"/>
        <v>58347.665387333334</v>
      </c>
      <c r="L38" s="616">
        <f t="shared" si="21"/>
        <v>58347.665387333334</v>
      </c>
      <c r="M38" s="616">
        <f t="shared" si="21"/>
        <v>58347.665387333334</v>
      </c>
      <c r="N38" s="616">
        <f t="shared" si="21"/>
        <v>58347.665387333334</v>
      </c>
      <c r="O38" s="617">
        <f t="shared" si="21"/>
        <v>58347.665387333334</v>
      </c>
      <c r="P38" s="575">
        <f t="shared" si="20"/>
        <v>700171.9846480001</v>
      </c>
      <c r="Q38" s="576"/>
      <c r="R38" s="576"/>
      <c r="S38" s="576"/>
      <c r="T38" s="576"/>
      <c r="U38" s="576"/>
      <c r="V38" s="576"/>
      <c r="W38" s="576"/>
    </row>
    <row r="39" spans="1:23" ht="21" customHeight="1">
      <c r="A39" s="613" t="s">
        <v>142</v>
      </c>
      <c r="B39" s="618" t="s">
        <v>444</v>
      </c>
      <c r="C39" s="615">
        <f>Kiadás!J13</f>
        <v>25000</v>
      </c>
      <c r="D39" s="616">
        <f>$C$39/12</f>
        <v>2083.3333333333335</v>
      </c>
      <c r="E39" s="616">
        <f aca="true" t="shared" si="22" ref="E39:O39">$C$39/12</f>
        <v>2083.3333333333335</v>
      </c>
      <c r="F39" s="616">
        <f t="shared" si="22"/>
        <v>2083.3333333333335</v>
      </c>
      <c r="G39" s="616">
        <f t="shared" si="22"/>
        <v>2083.3333333333335</v>
      </c>
      <c r="H39" s="616">
        <f t="shared" si="22"/>
        <v>2083.3333333333335</v>
      </c>
      <c r="I39" s="616">
        <f t="shared" si="22"/>
        <v>2083.3333333333335</v>
      </c>
      <c r="J39" s="616">
        <f t="shared" si="22"/>
        <v>2083.3333333333335</v>
      </c>
      <c r="K39" s="616">
        <f t="shared" si="22"/>
        <v>2083.3333333333335</v>
      </c>
      <c r="L39" s="616">
        <f t="shared" si="22"/>
        <v>2083.3333333333335</v>
      </c>
      <c r="M39" s="616">
        <f t="shared" si="22"/>
        <v>2083.3333333333335</v>
      </c>
      <c r="N39" s="616">
        <f t="shared" si="22"/>
        <v>2083.3333333333335</v>
      </c>
      <c r="O39" s="617">
        <f t="shared" si="22"/>
        <v>2083.3333333333335</v>
      </c>
      <c r="P39" s="575">
        <f t="shared" si="20"/>
        <v>24999.999999999996</v>
      </c>
      <c r="Q39" s="576"/>
      <c r="R39" s="576"/>
      <c r="S39" s="576"/>
      <c r="T39" s="576"/>
      <c r="U39" s="576"/>
      <c r="V39" s="576"/>
      <c r="W39" s="576"/>
    </row>
    <row r="40" spans="1:23" ht="21" customHeight="1">
      <c r="A40" s="613" t="s">
        <v>144</v>
      </c>
      <c r="B40" s="619" t="s">
        <v>445</v>
      </c>
      <c r="C40" s="615">
        <f>Kiadás!J16</f>
        <v>6092</v>
      </c>
      <c r="D40" s="616">
        <f>$C$40/12</f>
        <v>507.6666666666667</v>
      </c>
      <c r="E40" s="616">
        <f aca="true" t="shared" si="23" ref="E40:O40">$C$40/12</f>
        <v>507.6666666666667</v>
      </c>
      <c r="F40" s="616">
        <f t="shared" si="23"/>
        <v>507.6666666666667</v>
      </c>
      <c r="G40" s="616">
        <f t="shared" si="23"/>
        <v>507.6666666666667</v>
      </c>
      <c r="H40" s="616">
        <f t="shared" si="23"/>
        <v>507.6666666666667</v>
      </c>
      <c r="I40" s="616">
        <f t="shared" si="23"/>
        <v>507.6666666666667</v>
      </c>
      <c r="J40" s="616">
        <f t="shared" si="23"/>
        <v>507.6666666666667</v>
      </c>
      <c r="K40" s="616">
        <f t="shared" si="23"/>
        <v>507.6666666666667</v>
      </c>
      <c r="L40" s="616">
        <f t="shared" si="23"/>
        <v>507.6666666666667</v>
      </c>
      <c r="M40" s="616">
        <f t="shared" si="23"/>
        <v>507.6666666666667</v>
      </c>
      <c r="N40" s="616">
        <f t="shared" si="23"/>
        <v>507.6666666666667</v>
      </c>
      <c r="O40" s="617">
        <f t="shared" si="23"/>
        <v>507.6666666666667</v>
      </c>
      <c r="P40" s="575">
        <f t="shared" si="20"/>
        <v>6092.000000000001</v>
      </c>
      <c r="Q40" s="576"/>
      <c r="R40" s="576"/>
      <c r="S40" s="576"/>
      <c r="T40" s="576"/>
      <c r="U40" s="576"/>
      <c r="V40" s="576"/>
      <c r="W40" s="576"/>
    </row>
    <row r="41" spans="1:23" ht="21" customHeight="1">
      <c r="A41" s="613" t="s">
        <v>146</v>
      </c>
      <c r="B41" s="619" t="s">
        <v>147</v>
      </c>
      <c r="C41" s="615">
        <f>Kiadás!J17</f>
        <v>55782</v>
      </c>
      <c r="D41" s="616">
        <f>$C$41/12</f>
        <v>4648.5</v>
      </c>
      <c r="E41" s="616">
        <f aca="true" t="shared" si="24" ref="E41:O41">$C$41/12</f>
        <v>4648.5</v>
      </c>
      <c r="F41" s="616">
        <f t="shared" si="24"/>
        <v>4648.5</v>
      </c>
      <c r="G41" s="616">
        <f t="shared" si="24"/>
        <v>4648.5</v>
      </c>
      <c r="H41" s="616">
        <f t="shared" si="24"/>
        <v>4648.5</v>
      </c>
      <c r="I41" s="616">
        <f t="shared" si="24"/>
        <v>4648.5</v>
      </c>
      <c r="J41" s="616">
        <f t="shared" si="24"/>
        <v>4648.5</v>
      </c>
      <c r="K41" s="616">
        <f t="shared" si="24"/>
        <v>4648.5</v>
      </c>
      <c r="L41" s="616">
        <f t="shared" si="24"/>
        <v>4648.5</v>
      </c>
      <c r="M41" s="616">
        <f t="shared" si="24"/>
        <v>4648.5</v>
      </c>
      <c r="N41" s="616">
        <f t="shared" si="24"/>
        <v>4648.5</v>
      </c>
      <c r="O41" s="617">
        <f t="shared" si="24"/>
        <v>4648.5</v>
      </c>
      <c r="P41" s="575">
        <f t="shared" si="20"/>
        <v>55782</v>
      </c>
      <c r="Q41" s="576"/>
      <c r="R41" s="576"/>
      <c r="S41" s="576"/>
      <c r="T41" s="576"/>
      <c r="U41" s="576"/>
      <c r="V41" s="576"/>
      <c r="W41" s="576"/>
    </row>
    <row r="42" spans="1:23" ht="21" customHeight="1">
      <c r="A42" s="620" t="s">
        <v>148</v>
      </c>
      <c r="B42" s="619" t="s">
        <v>149</v>
      </c>
      <c r="C42" s="615">
        <f>Kiadás!J18</f>
        <v>10992</v>
      </c>
      <c r="D42" s="616">
        <v>100</v>
      </c>
      <c r="E42" s="616">
        <v>100</v>
      </c>
      <c r="F42" s="616">
        <v>100</v>
      </c>
      <c r="G42" s="616">
        <v>100</v>
      </c>
      <c r="H42" s="616">
        <v>100</v>
      </c>
      <c r="I42" s="616">
        <v>100</v>
      </c>
      <c r="J42" s="616">
        <v>100</v>
      </c>
      <c r="K42" s="616">
        <v>100</v>
      </c>
      <c r="L42" s="616">
        <v>10000</v>
      </c>
      <c r="M42" s="616">
        <v>100</v>
      </c>
      <c r="N42" s="616">
        <v>260</v>
      </c>
      <c r="O42" s="617">
        <v>300</v>
      </c>
      <c r="P42" s="575">
        <f t="shared" si="20"/>
        <v>11460</v>
      </c>
      <c r="Q42" s="576"/>
      <c r="R42" s="576"/>
      <c r="S42" s="576"/>
      <c r="T42" s="576"/>
      <c r="U42" s="576"/>
      <c r="V42" s="576"/>
      <c r="W42" s="576"/>
    </row>
    <row r="43" spans="1:23" ht="21" customHeight="1">
      <c r="A43" s="620" t="s">
        <v>150</v>
      </c>
      <c r="B43" s="619" t="s">
        <v>446</v>
      </c>
      <c r="C43" s="615">
        <f>Kiadás!J30</f>
        <v>15000</v>
      </c>
      <c r="D43" s="616">
        <f>$C$43/12</f>
        <v>1250</v>
      </c>
      <c r="E43" s="616">
        <f aca="true" t="shared" si="25" ref="E43:O43">$C$43/12</f>
        <v>1250</v>
      </c>
      <c r="F43" s="616">
        <f t="shared" si="25"/>
        <v>1250</v>
      </c>
      <c r="G43" s="616">
        <f t="shared" si="25"/>
        <v>1250</v>
      </c>
      <c r="H43" s="616">
        <f t="shared" si="25"/>
        <v>1250</v>
      </c>
      <c r="I43" s="616">
        <f t="shared" si="25"/>
        <v>1250</v>
      </c>
      <c r="J43" s="616">
        <f t="shared" si="25"/>
        <v>1250</v>
      </c>
      <c r="K43" s="616">
        <f t="shared" si="25"/>
        <v>1250</v>
      </c>
      <c r="L43" s="616">
        <f t="shared" si="25"/>
        <v>1250</v>
      </c>
      <c r="M43" s="616">
        <f t="shared" si="25"/>
        <v>1250</v>
      </c>
      <c r="N43" s="616">
        <f t="shared" si="25"/>
        <v>1250</v>
      </c>
      <c r="O43" s="617">
        <f t="shared" si="25"/>
        <v>1250</v>
      </c>
      <c r="P43" s="575">
        <f t="shared" si="20"/>
        <v>15000</v>
      </c>
      <c r="Q43" s="576"/>
      <c r="R43" s="576"/>
      <c r="S43" s="576"/>
      <c r="T43" s="576"/>
      <c r="U43" s="576"/>
      <c r="V43" s="576"/>
      <c r="W43" s="576"/>
    </row>
    <row r="44" spans="1:23" ht="21" customHeight="1">
      <c r="A44" s="613" t="s">
        <v>152</v>
      </c>
      <c r="B44" s="621" t="s">
        <v>447</v>
      </c>
      <c r="C44" s="615">
        <f>C36+C37+C38+C39+C40+C41+C42+C43</f>
        <v>1894513.337738</v>
      </c>
      <c r="D44" s="615">
        <f aca="true" t="shared" si="26" ref="D44:O44">D36+D37+D38+D39+D40+D41+D42+D43</f>
        <v>157060.11147816668</v>
      </c>
      <c r="E44" s="615">
        <f t="shared" si="26"/>
        <v>157060.11147816668</v>
      </c>
      <c r="F44" s="615">
        <f t="shared" si="26"/>
        <v>157060.11147816668</v>
      </c>
      <c r="G44" s="615">
        <f t="shared" si="26"/>
        <v>157060.11147816668</v>
      </c>
      <c r="H44" s="615">
        <f t="shared" si="26"/>
        <v>157060.11147816668</v>
      </c>
      <c r="I44" s="615">
        <f t="shared" si="26"/>
        <v>157060.11147816668</v>
      </c>
      <c r="J44" s="615">
        <f t="shared" si="26"/>
        <v>157060.11147816668</v>
      </c>
      <c r="K44" s="615">
        <f t="shared" si="26"/>
        <v>157060.11147816668</v>
      </c>
      <c r="L44" s="615">
        <f t="shared" si="26"/>
        <v>166960.11147816668</v>
      </c>
      <c r="M44" s="615">
        <f t="shared" si="26"/>
        <v>157060.11147816668</v>
      </c>
      <c r="N44" s="615">
        <f t="shared" si="26"/>
        <v>157220.11147816668</v>
      </c>
      <c r="O44" s="622">
        <f t="shared" si="26"/>
        <v>157260.11147816668</v>
      </c>
      <c r="P44" s="575">
        <f t="shared" si="20"/>
        <v>1894981.337738</v>
      </c>
      <c r="Q44" s="576"/>
      <c r="R44" s="576"/>
      <c r="S44" s="576"/>
      <c r="T44" s="576"/>
      <c r="U44" s="576"/>
      <c r="V44" s="576"/>
      <c r="W44" s="576"/>
    </row>
    <row r="45" spans="1:23" ht="21" customHeight="1">
      <c r="A45" s="613" t="s">
        <v>154</v>
      </c>
      <c r="B45" s="614" t="s">
        <v>97</v>
      </c>
      <c r="C45" s="615">
        <v>0</v>
      </c>
      <c r="D45" s="616">
        <f>$C$45/12</f>
        <v>0</v>
      </c>
      <c r="E45" s="616">
        <f aca="true" t="shared" si="27" ref="E45:O45">$C$45/12</f>
        <v>0</v>
      </c>
      <c r="F45" s="616">
        <f t="shared" si="27"/>
        <v>0</v>
      </c>
      <c r="G45" s="616">
        <f t="shared" si="27"/>
        <v>0</v>
      </c>
      <c r="H45" s="616">
        <f t="shared" si="27"/>
        <v>0</v>
      </c>
      <c r="I45" s="616">
        <f t="shared" si="27"/>
        <v>0</v>
      </c>
      <c r="J45" s="616">
        <f t="shared" si="27"/>
        <v>0</v>
      </c>
      <c r="K45" s="616">
        <f t="shared" si="27"/>
        <v>0</v>
      </c>
      <c r="L45" s="616">
        <f t="shared" si="27"/>
        <v>0</v>
      </c>
      <c r="M45" s="616">
        <f t="shared" si="27"/>
        <v>0</v>
      </c>
      <c r="N45" s="616">
        <f t="shared" si="27"/>
        <v>0</v>
      </c>
      <c r="O45" s="617">
        <f t="shared" si="27"/>
        <v>0</v>
      </c>
      <c r="P45" s="575">
        <f t="shared" si="20"/>
        <v>0</v>
      </c>
      <c r="Q45" s="576"/>
      <c r="R45" s="576"/>
      <c r="S45" s="576"/>
      <c r="T45" s="576"/>
      <c r="U45" s="576"/>
      <c r="V45" s="576"/>
      <c r="W45" s="576"/>
    </row>
    <row r="46" spans="1:24" s="600" customFormat="1" ht="21" customHeight="1">
      <c r="A46" s="613" t="s">
        <v>156</v>
      </c>
      <c r="B46" s="614" t="s">
        <v>448</v>
      </c>
      <c r="C46" s="615">
        <f>Kiadás!J19</f>
        <v>833206</v>
      </c>
      <c r="D46" s="623">
        <f>$C$46/12</f>
        <v>69433.83333333333</v>
      </c>
      <c r="E46" s="623">
        <f aca="true" t="shared" si="28" ref="E46:O46">$C$46/12</f>
        <v>69433.83333333333</v>
      </c>
      <c r="F46" s="623">
        <f t="shared" si="28"/>
        <v>69433.83333333333</v>
      </c>
      <c r="G46" s="623">
        <f t="shared" si="28"/>
        <v>69433.83333333333</v>
      </c>
      <c r="H46" s="623">
        <f t="shared" si="28"/>
        <v>69433.83333333333</v>
      </c>
      <c r="I46" s="623">
        <f t="shared" si="28"/>
        <v>69433.83333333333</v>
      </c>
      <c r="J46" s="623">
        <f t="shared" si="28"/>
        <v>69433.83333333333</v>
      </c>
      <c r="K46" s="623">
        <f t="shared" si="28"/>
        <v>69433.83333333333</v>
      </c>
      <c r="L46" s="623">
        <f t="shared" si="28"/>
        <v>69433.83333333333</v>
      </c>
      <c r="M46" s="623">
        <f t="shared" si="28"/>
        <v>69433.83333333333</v>
      </c>
      <c r="N46" s="623">
        <f t="shared" si="28"/>
        <v>69433.83333333333</v>
      </c>
      <c r="O46" s="624">
        <f t="shared" si="28"/>
        <v>69433.83333333333</v>
      </c>
      <c r="P46" s="575">
        <f t="shared" si="20"/>
        <v>833206.0000000001</v>
      </c>
      <c r="Q46" s="576"/>
      <c r="R46" s="576"/>
      <c r="S46" s="576"/>
      <c r="T46" s="576"/>
      <c r="U46" s="576"/>
      <c r="V46" s="576"/>
      <c r="W46" s="576"/>
      <c r="X46" s="599"/>
    </row>
    <row r="47" spans="1:23" ht="21" customHeight="1">
      <c r="A47" s="613" t="s">
        <v>158</v>
      </c>
      <c r="B47" s="614" t="s">
        <v>449</v>
      </c>
      <c r="C47" s="615"/>
      <c r="D47" s="616"/>
      <c r="E47" s="625">
        <v>400</v>
      </c>
      <c r="F47" s="616">
        <v>30000</v>
      </c>
      <c r="G47" s="616">
        <v>400</v>
      </c>
      <c r="H47" s="616"/>
      <c r="I47" s="616"/>
      <c r="J47" s="616">
        <v>400</v>
      </c>
      <c r="K47" s="616"/>
      <c r="L47" s="616">
        <v>400</v>
      </c>
      <c r="M47" s="616"/>
      <c r="N47" s="626">
        <v>400</v>
      </c>
      <c r="O47" s="617"/>
      <c r="P47" s="575">
        <f t="shared" si="20"/>
        <v>32000</v>
      </c>
      <c r="Q47" s="576"/>
      <c r="R47" s="576"/>
      <c r="S47" s="576"/>
      <c r="T47" s="576"/>
      <c r="U47" s="576"/>
      <c r="V47" s="576"/>
      <c r="W47" s="576"/>
    </row>
    <row r="48" spans="1:23" ht="12.75">
      <c r="A48" s="613" t="s">
        <v>160</v>
      </c>
      <c r="B48" s="614" t="s">
        <v>450</v>
      </c>
      <c r="C48" s="615">
        <v>13380</v>
      </c>
      <c r="D48" s="623">
        <v>0</v>
      </c>
      <c r="E48" s="623">
        <v>0</v>
      </c>
      <c r="F48" s="623">
        <v>3263</v>
      </c>
      <c r="G48" s="623">
        <v>0</v>
      </c>
      <c r="H48" s="623">
        <v>0</v>
      </c>
      <c r="I48" s="623">
        <v>3263</v>
      </c>
      <c r="J48" s="623">
        <v>0</v>
      </c>
      <c r="K48" s="623">
        <v>0</v>
      </c>
      <c r="L48" s="623">
        <v>3262</v>
      </c>
      <c r="M48" s="623">
        <v>0</v>
      </c>
      <c r="N48" s="623">
        <v>3262</v>
      </c>
      <c r="O48" s="624">
        <v>0</v>
      </c>
      <c r="P48" s="575">
        <f t="shared" si="20"/>
        <v>13050</v>
      </c>
      <c r="Q48" s="576"/>
      <c r="R48" s="576"/>
      <c r="S48" s="576"/>
      <c r="T48" s="576"/>
      <c r="U48" s="576"/>
      <c r="V48" s="576"/>
      <c r="W48" s="576"/>
    </row>
    <row r="49" spans="1:23" ht="12.75">
      <c r="A49" s="613" t="s">
        <v>162</v>
      </c>
      <c r="B49" s="614" t="s">
        <v>446</v>
      </c>
      <c r="C49" s="615">
        <v>0</v>
      </c>
      <c r="D49" s="616">
        <v>0</v>
      </c>
      <c r="E49" s="616">
        <v>0</v>
      </c>
      <c r="F49" s="616">
        <v>0</v>
      </c>
      <c r="G49" s="616">
        <v>0</v>
      </c>
      <c r="H49" s="616">
        <v>0</v>
      </c>
      <c r="I49" s="616">
        <v>0</v>
      </c>
      <c r="J49" s="616">
        <v>0</v>
      </c>
      <c r="K49" s="616">
        <v>0</v>
      </c>
      <c r="L49" s="616">
        <v>0</v>
      </c>
      <c r="M49" s="616">
        <v>0</v>
      </c>
      <c r="N49" s="616">
        <v>0</v>
      </c>
      <c r="O49" s="617">
        <v>0</v>
      </c>
      <c r="P49" s="575">
        <f>SUM(D49:O49)</f>
        <v>0</v>
      </c>
      <c r="Q49" s="576"/>
      <c r="R49" s="576"/>
      <c r="S49" s="576"/>
      <c r="T49" s="576"/>
      <c r="U49" s="576"/>
      <c r="V49" s="576"/>
      <c r="W49" s="576"/>
    </row>
    <row r="50" spans="1:23" ht="12.75">
      <c r="A50" s="613" t="s">
        <v>164</v>
      </c>
      <c r="B50" s="627" t="s">
        <v>451</v>
      </c>
      <c r="C50" s="615">
        <f>C45+C46+C47+C48+C49</f>
        <v>846586</v>
      </c>
      <c r="D50" s="615">
        <f aca="true" t="shared" si="29" ref="D50:O50">D45+D46+D47+D48+D49</f>
        <v>69433.83333333333</v>
      </c>
      <c r="E50" s="615">
        <f t="shared" si="29"/>
        <v>69833.83333333333</v>
      </c>
      <c r="F50" s="615">
        <f t="shared" si="29"/>
        <v>102696.83333333333</v>
      </c>
      <c r="G50" s="615">
        <f t="shared" si="29"/>
        <v>69833.83333333333</v>
      </c>
      <c r="H50" s="615">
        <f t="shared" si="29"/>
        <v>69433.83333333333</v>
      </c>
      <c r="I50" s="615">
        <f t="shared" si="29"/>
        <v>72696.83333333333</v>
      </c>
      <c r="J50" s="615">
        <f t="shared" si="29"/>
        <v>69833.83333333333</v>
      </c>
      <c r="K50" s="615">
        <f t="shared" si="29"/>
        <v>69433.83333333333</v>
      </c>
      <c r="L50" s="615">
        <f t="shared" si="29"/>
        <v>73095.83333333333</v>
      </c>
      <c r="M50" s="615">
        <f t="shared" si="29"/>
        <v>69433.83333333333</v>
      </c>
      <c r="N50" s="615">
        <f t="shared" si="29"/>
        <v>73095.83333333333</v>
      </c>
      <c r="O50" s="622">
        <f t="shared" si="29"/>
        <v>69433.83333333333</v>
      </c>
      <c r="P50" s="575">
        <f t="shared" si="20"/>
        <v>878256.0000000001</v>
      </c>
      <c r="Q50" s="576"/>
      <c r="R50" s="576"/>
      <c r="S50" s="576"/>
      <c r="T50" s="576"/>
      <c r="U50" s="576"/>
      <c r="V50" s="576"/>
      <c r="W50" s="576"/>
    </row>
    <row r="51" spans="1:23" ht="12.75">
      <c r="A51" s="613"/>
      <c r="B51" s="614"/>
      <c r="C51" s="615"/>
      <c r="D51" s="616"/>
      <c r="E51" s="625"/>
      <c r="F51" s="616"/>
      <c r="G51" s="616"/>
      <c r="H51" s="616"/>
      <c r="I51" s="616"/>
      <c r="J51" s="616"/>
      <c r="K51" s="616"/>
      <c r="L51" s="616"/>
      <c r="M51" s="616"/>
      <c r="N51" s="626"/>
      <c r="O51" s="617"/>
      <c r="P51" s="575">
        <f t="shared" si="20"/>
        <v>0</v>
      </c>
      <c r="Q51" s="576"/>
      <c r="R51" s="576"/>
      <c r="S51" s="576"/>
      <c r="T51" s="576"/>
      <c r="U51" s="576"/>
      <c r="V51" s="576"/>
      <c r="W51" s="576"/>
    </row>
    <row r="52" spans="1:23" ht="13.5" thickBot="1">
      <c r="A52" s="628" t="s">
        <v>167</v>
      </c>
      <c r="B52" s="629" t="s">
        <v>452</v>
      </c>
      <c r="C52" s="630">
        <f>C44+C50</f>
        <v>2741099.337738</v>
      </c>
      <c r="D52" s="631">
        <f aca="true" t="shared" si="30" ref="D52:O52">SUM(D50+D44)</f>
        <v>226493.94481150003</v>
      </c>
      <c r="E52" s="631">
        <f t="shared" si="30"/>
        <v>226893.94481150003</v>
      </c>
      <c r="F52" s="631">
        <f t="shared" si="30"/>
        <v>259756.94481150003</v>
      </c>
      <c r="G52" s="631">
        <f t="shared" si="30"/>
        <v>226893.94481150003</v>
      </c>
      <c r="H52" s="631">
        <f t="shared" si="30"/>
        <v>226493.94481150003</v>
      </c>
      <c r="I52" s="631">
        <f t="shared" si="30"/>
        <v>229756.94481150003</v>
      </c>
      <c r="J52" s="631">
        <f t="shared" si="30"/>
        <v>226893.94481150003</v>
      </c>
      <c r="K52" s="631">
        <f t="shared" si="30"/>
        <v>226493.94481150003</v>
      </c>
      <c r="L52" s="631">
        <f t="shared" si="30"/>
        <v>240055.94481150003</v>
      </c>
      <c r="M52" s="631">
        <f t="shared" si="30"/>
        <v>226493.94481150003</v>
      </c>
      <c r="N52" s="631">
        <f t="shared" si="30"/>
        <v>230315.94481150003</v>
      </c>
      <c r="O52" s="632">
        <f t="shared" si="30"/>
        <v>226693.94481150003</v>
      </c>
      <c r="P52" s="575">
        <f t="shared" si="20"/>
        <v>2773237.3377380013</v>
      </c>
      <c r="Q52" s="576"/>
      <c r="R52" s="576"/>
      <c r="S52" s="576"/>
      <c r="T52" s="576"/>
      <c r="U52" s="576"/>
      <c r="V52" s="576"/>
      <c r="W52" s="576"/>
    </row>
    <row r="53" spans="16:23" ht="12.75">
      <c r="P53" s="575"/>
      <c r="Q53" s="576"/>
      <c r="R53" s="576"/>
      <c r="S53" s="576"/>
      <c r="T53" s="576"/>
      <c r="U53" s="576"/>
      <c r="V53" s="576"/>
      <c r="W53" s="576"/>
    </row>
    <row r="54" spans="16:23" ht="12.75">
      <c r="P54" s="576"/>
      <c r="Q54" s="576"/>
      <c r="R54" s="576"/>
      <c r="S54" s="576"/>
      <c r="T54" s="576"/>
      <c r="U54" s="576"/>
      <c r="V54" s="576"/>
      <c r="W54" s="576"/>
    </row>
    <row r="55" spans="16:23" ht="12.75">
      <c r="P55" s="576"/>
      <c r="Q55" s="576"/>
      <c r="R55" s="576"/>
      <c r="S55" s="576"/>
      <c r="T55" s="576"/>
      <c r="U55" s="576"/>
      <c r="V55" s="576"/>
      <c r="W55" s="576"/>
    </row>
    <row r="56" spans="16:23" ht="12.75">
      <c r="P56" s="576"/>
      <c r="Q56" s="576"/>
      <c r="R56" s="576"/>
      <c r="S56" s="576"/>
      <c r="T56" s="576"/>
      <c r="U56" s="576"/>
      <c r="V56" s="576"/>
      <c r="W56" s="576"/>
    </row>
    <row r="57" spans="16:23" ht="12.75">
      <c r="P57" s="576"/>
      <c r="Q57" s="576"/>
      <c r="R57" s="576"/>
      <c r="S57" s="576"/>
      <c r="T57" s="576"/>
      <c r="U57" s="576"/>
      <c r="V57" s="576"/>
      <c r="W57" s="576"/>
    </row>
    <row r="58" spans="16:23" ht="12.75">
      <c r="P58" s="576"/>
      <c r="Q58" s="576"/>
      <c r="R58" s="576"/>
      <c r="S58" s="576"/>
      <c r="T58" s="576"/>
      <c r="U58" s="576"/>
      <c r="V58" s="576"/>
      <c r="W58" s="576"/>
    </row>
    <row r="59" spans="16:23" ht="12.75">
      <c r="P59" s="576"/>
      <c r="Q59" s="576"/>
      <c r="R59" s="576"/>
      <c r="S59" s="576"/>
      <c r="T59" s="576"/>
      <c r="U59" s="576"/>
      <c r="V59" s="576"/>
      <c r="W59" s="576"/>
    </row>
    <row r="60" spans="16:23" ht="12.75">
      <c r="P60" s="576"/>
      <c r="Q60" s="576"/>
      <c r="R60" s="576"/>
      <c r="S60" s="576"/>
      <c r="T60" s="576"/>
      <c r="U60" s="576"/>
      <c r="V60" s="576"/>
      <c r="W60" s="576"/>
    </row>
    <row r="61" spans="16:23" ht="12.75">
      <c r="P61" s="576"/>
      <c r="Q61" s="576"/>
      <c r="R61" s="576"/>
      <c r="S61" s="576"/>
      <c r="T61" s="576"/>
      <c r="U61" s="576"/>
      <c r="V61" s="576"/>
      <c r="W61" s="576"/>
    </row>
    <row r="62" spans="16:23" ht="12.75">
      <c r="P62" s="576"/>
      <c r="Q62" s="576"/>
      <c r="R62" s="576"/>
      <c r="S62" s="576"/>
      <c r="T62" s="576"/>
      <c r="U62" s="576"/>
      <c r="V62" s="576"/>
      <c r="W62" s="576"/>
    </row>
    <row r="63" spans="16:23" ht="12.75">
      <c r="P63" s="576"/>
      <c r="Q63" s="576"/>
      <c r="R63" s="576"/>
      <c r="S63" s="576"/>
      <c r="T63" s="576"/>
      <c r="U63" s="576"/>
      <c r="V63" s="576"/>
      <c r="W63" s="576"/>
    </row>
    <row r="64" spans="16:23" ht="12.75">
      <c r="P64" s="576"/>
      <c r="Q64" s="576"/>
      <c r="R64" s="576"/>
      <c r="S64" s="576"/>
      <c r="T64" s="576"/>
      <c r="U64" s="576"/>
      <c r="V64" s="576"/>
      <c r="W64" s="576"/>
    </row>
    <row r="65" spans="16:23" ht="12.75">
      <c r="P65" s="576"/>
      <c r="Q65" s="576"/>
      <c r="R65" s="576"/>
      <c r="S65" s="576"/>
      <c r="T65" s="576"/>
      <c r="U65" s="576"/>
      <c r="V65" s="576"/>
      <c r="W65" s="576"/>
    </row>
    <row r="66" spans="16:23" ht="12.75">
      <c r="P66" s="576"/>
      <c r="Q66" s="576"/>
      <c r="R66" s="576"/>
      <c r="S66" s="576"/>
      <c r="T66" s="576"/>
      <c r="U66" s="576"/>
      <c r="V66" s="576"/>
      <c r="W66" s="576"/>
    </row>
    <row r="67" spans="16:23" ht="12.75">
      <c r="P67" s="576"/>
      <c r="Q67" s="576"/>
      <c r="R67" s="576"/>
      <c r="S67" s="576"/>
      <c r="T67" s="576"/>
      <c r="U67" s="576"/>
      <c r="V67" s="576"/>
      <c r="W67" s="576"/>
    </row>
    <row r="68" spans="16:23" ht="12.75">
      <c r="P68" s="576"/>
      <c r="Q68" s="576"/>
      <c r="R68" s="576"/>
      <c r="S68" s="576"/>
      <c r="T68" s="576"/>
      <c r="U68" s="576"/>
      <c r="V68" s="576"/>
      <c r="W68" s="576"/>
    </row>
    <row r="69" spans="16:23" ht="12.75">
      <c r="P69" s="576"/>
      <c r="Q69" s="576"/>
      <c r="R69" s="576"/>
      <c r="S69" s="576"/>
      <c r="T69" s="576"/>
      <c r="U69" s="576"/>
      <c r="V69" s="576"/>
      <c r="W69" s="576"/>
    </row>
    <row r="70" spans="16:23" ht="12.75">
      <c r="P70" s="576"/>
      <c r="Q70" s="576"/>
      <c r="R70" s="576"/>
      <c r="S70" s="576"/>
      <c r="T70" s="576"/>
      <c r="U70" s="576"/>
      <c r="V70" s="576"/>
      <c r="W70" s="576"/>
    </row>
    <row r="71" spans="16:23" ht="12.75">
      <c r="P71" s="576"/>
      <c r="Q71" s="576"/>
      <c r="R71" s="576"/>
      <c r="S71" s="576"/>
      <c r="T71" s="576"/>
      <c r="U71" s="576"/>
      <c r="V71" s="576"/>
      <c r="W71" s="576"/>
    </row>
    <row r="72" spans="16:23" ht="12.75">
      <c r="P72" s="576"/>
      <c r="Q72" s="576"/>
      <c r="R72" s="576"/>
      <c r="S72" s="576"/>
      <c r="T72" s="576"/>
      <c r="U72" s="576"/>
      <c r="V72" s="576"/>
      <c r="W72" s="576"/>
    </row>
    <row r="73" spans="16:23" ht="12.75">
      <c r="P73" s="576"/>
      <c r="Q73" s="576"/>
      <c r="R73" s="576"/>
      <c r="S73" s="576"/>
      <c r="T73" s="576"/>
      <c r="U73" s="576"/>
      <c r="V73" s="576"/>
      <c r="W73" s="576"/>
    </row>
    <row r="74" spans="16:23" ht="12.75">
      <c r="P74" s="576"/>
      <c r="Q74" s="576"/>
      <c r="R74" s="576"/>
      <c r="S74" s="576"/>
      <c r="T74" s="576"/>
      <c r="U74" s="576"/>
      <c r="V74" s="576"/>
      <c r="W74" s="576"/>
    </row>
    <row r="75" spans="16:23" ht="12.75">
      <c r="P75" s="576"/>
      <c r="Q75" s="576"/>
      <c r="R75" s="576"/>
      <c r="S75" s="576"/>
      <c r="T75" s="576"/>
      <c r="U75" s="576"/>
      <c r="V75" s="576"/>
      <c r="W75" s="576"/>
    </row>
    <row r="76" spans="16:23" ht="12.75">
      <c r="P76" s="576"/>
      <c r="Q76" s="576"/>
      <c r="R76" s="576"/>
      <c r="S76" s="576"/>
      <c r="T76" s="576"/>
      <c r="U76" s="576"/>
      <c r="V76" s="576"/>
      <c r="W76" s="576"/>
    </row>
    <row r="77" spans="16:23" ht="12.75">
      <c r="P77" s="576"/>
      <c r="Q77" s="576"/>
      <c r="R77" s="576"/>
      <c r="S77" s="576"/>
      <c r="T77" s="576"/>
      <c r="U77" s="576"/>
      <c r="V77" s="576"/>
      <c r="W77" s="576"/>
    </row>
    <row r="78" spans="16:23" ht="12.75">
      <c r="P78" s="576"/>
      <c r="Q78" s="576"/>
      <c r="R78" s="576"/>
      <c r="S78" s="576"/>
      <c r="T78" s="576"/>
      <c r="U78" s="576"/>
      <c r="V78" s="576"/>
      <c r="W78" s="576"/>
    </row>
    <row r="79" spans="16:23" ht="12.75">
      <c r="P79" s="576"/>
      <c r="Q79" s="576"/>
      <c r="R79" s="576"/>
      <c r="S79" s="576"/>
      <c r="T79" s="576"/>
      <c r="U79" s="576"/>
      <c r="V79" s="576"/>
      <c r="W79" s="576"/>
    </row>
    <row r="80" spans="16:23" ht="12.75">
      <c r="P80" s="576"/>
      <c r="Q80" s="576"/>
      <c r="R80" s="576"/>
      <c r="S80" s="576"/>
      <c r="T80" s="576"/>
      <c r="U80" s="576"/>
      <c r="V80" s="576"/>
      <c r="W80" s="576"/>
    </row>
    <row r="81" spans="16:23" ht="12.75">
      <c r="P81" s="576"/>
      <c r="Q81" s="576"/>
      <c r="R81" s="576"/>
      <c r="S81" s="576"/>
      <c r="T81" s="576"/>
      <c r="U81" s="576"/>
      <c r="V81" s="576"/>
      <c r="W81" s="576"/>
    </row>
    <row r="82" spans="16:23" ht="12.75">
      <c r="P82" s="576"/>
      <c r="Q82" s="576"/>
      <c r="R82" s="576"/>
      <c r="S82" s="576"/>
      <c r="T82" s="576"/>
      <c r="U82" s="576"/>
      <c r="V82" s="576"/>
      <c r="W82" s="576"/>
    </row>
    <row r="83" spans="16:23" ht="12.75">
      <c r="P83" s="576"/>
      <c r="Q83" s="576"/>
      <c r="R83" s="576"/>
      <c r="S83" s="576"/>
      <c r="T83" s="576"/>
      <c r="U83" s="576"/>
      <c r="V83" s="576"/>
      <c r="W83" s="576"/>
    </row>
    <row r="84" spans="16:23" ht="12.75">
      <c r="P84" s="576"/>
      <c r="Q84" s="576"/>
      <c r="R84" s="576"/>
      <c r="S84" s="576"/>
      <c r="T84" s="576"/>
      <c r="U84" s="576"/>
      <c r="V84" s="576"/>
      <c r="W84" s="576"/>
    </row>
    <row r="85" spans="16:23" ht="12.75">
      <c r="P85" s="576"/>
      <c r="Q85" s="576"/>
      <c r="R85" s="576"/>
      <c r="S85" s="576"/>
      <c r="T85" s="576"/>
      <c r="U85" s="576"/>
      <c r="V85" s="576"/>
      <c r="W85" s="576"/>
    </row>
    <row r="86" spans="16:23" ht="12.75">
      <c r="P86" s="576"/>
      <c r="Q86" s="576"/>
      <c r="R86" s="576"/>
      <c r="S86" s="576"/>
      <c r="T86" s="576"/>
      <c r="U86" s="576"/>
      <c r="V86" s="576"/>
      <c r="W86" s="576"/>
    </row>
    <row r="87" spans="16:23" ht="12.75">
      <c r="P87" s="576"/>
      <c r="Q87" s="576"/>
      <c r="R87" s="576"/>
      <c r="S87" s="576"/>
      <c r="T87" s="576"/>
      <c r="U87" s="576"/>
      <c r="V87" s="576"/>
      <c r="W87" s="576"/>
    </row>
    <row r="88" spans="16:23" ht="12.75">
      <c r="P88" s="576"/>
      <c r="Q88" s="576"/>
      <c r="R88" s="576"/>
      <c r="S88" s="576"/>
      <c r="T88" s="576"/>
      <c r="U88" s="576"/>
      <c r="V88" s="576"/>
      <c r="W88" s="576"/>
    </row>
    <row r="89" spans="16:23" ht="12.75">
      <c r="P89" s="576"/>
      <c r="Q89" s="576"/>
      <c r="R89" s="576"/>
      <c r="S89" s="576"/>
      <c r="T89" s="576"/>
      <c r="U89" s="576"/>
      <c r="V89" s="576"/>
      <c r="W89" s="576"/>
    </row>
    <row r="90" spans="16:23" ht="12.75">
      <c r="P90" s="576"/>
      <c r="Q90" s="576"/>
      <c r="R90" s="576"/>
      <c r="S90" s="576"/>
      <c r="T90" s="576"/>
      <c r="U90" s="576"/>
      <c r="V90" s="576"/>
      <c r="W90" s="576"/>
    </row>
    <row r="91" spans="16:23" ht="12.75">
      <c r="P91" s="576"/>
      <c r="Q91" s="576"/>
      <c r="R91" s="576"/>
      <c r="S91" s="576"/>
      <c r="T91" s="576"/>
      <c r="U91" s="576"/>
      <c r="V91" s="576"/>
      <c r="W91" s="576"/>
    </row>
    <row r="92" spans="16:23" ht="12.75">
      <c r="P92" s="576"/>
      <c r="Q92" s="576"/>
      <c r="R92" s="576"/>
      <c r="S92" s="576"/>
      <c r="T92" s="576"/>
      <c r="U92" s="576"/>
      <c r="V92" s="576"/>
      <c r="W92" s="576"/>
    </row>
    <row r="93" spans="16:23" ht="12.75">
      <c r="P93" s="576"/>
      <c r="Q93" s="576"/>
      <c r="R93" s="576"/>
      <c r="S93" s="576"/>
      <c r="T93" s="576"/>
      <c r="U93" s="576"/>
      <c r="V93" s="576"/>
      <c r="W93" s="576"/>
    </row>
    <row r="94" spans="16:23" ht="12.75">
      <c r="P94" s="576"/>
      <c r="Q94" s="576"/>
      <c r="R94" s="576"/>
      <c r="S94" s="576"/>
      <c r="T94" s="576"/>
      <c r="U94" s="576"/>
      <c r="V94" s="576"/>
      <c r="W94" s="576"/>
    </row>
    <row r="95" spans="16:23" ht="12.75">
      <c r="P95" s="576"/>
      <c r="Q95" s="576"/>
      <c r="R95" s="576"/>
      <c r="S95" s="576"/>
      <c r="T95" s="576"/>
      <c r="U95" s="576"/>
      <c r="V95" s="576"/>
      <c r="W95" s="576"/>
    </row>
    <row r="96" spans="16:23" ht="12.75">
      <c r="P96" s="576"/>
      <c r="Q96" s="576"/>
      <c r="R96" s="576"/>
      <c r="S96" s="576"/>
      <c r="T96" s="576"/>
      <c r="U96" s="576"/>
      <c r="V96" s="576"/>
      <c r="W96" s="576"/>
    </row>
    <row r="97" spans="16:23" ht="12.75">
      <c r="P97" s="576"/>
      <c r="Q97" s="576"/>
      <c r="R97" s="576"/>
      <c r="S97" s="576"/>
      <c r="T97" s="576"/>
      <c r="U97" s="576"/>
      <c r="V97" s="576"/>
      <c r="W97" s="576"/>
    </row>
    <row r="98" spans="16:23" ht="12.75">
      <c r="P98" s="576"/>
      <c r="Q98" s="576"/>
      <c r="R98" s="576"/>
      <c r="S98" s="576"/>
      <c r="T98" s="576"/>
      <c r="U98" s="576"/>
      <c r="V98" s="576"/>
      <c r="W98" s="576"/>
    </row>
    <row r="99" spans="16:23" ht="12.75">
      <c r="P99" s="576"/>
      <c r="Q99" s="576"/>
      <c r="R99" s="576"/>
      <c r="S99" s="576"/>
      <c r="T99" s="576"/>
      <c r="U99" s="576"/>
      <c r="V99" s="576"/>
      <c r="W99" s="576"/>
    </row>
    <row r="100" spans="16:23" ht="12.75">
      <c r="P100" s="576"/>
      <c r="Q100" s="576"/>
      <c r="R100" s="576"/>
      <c r="S100" s="576"/>
      <c r="T100" s="576"/>
      <c r="U100" s="576"/>
      <c r="V100" s="576"/>
      <c r="W100" s="576"/>
    </row>
    <row r="101" spans="16:23" ht="12.75">
      <c r="P101" s="576"/>
      <c r="Q101" s="576"/>
      <c r="R101" s="576"/>
      <c r="S101" s="576"/>
      <c r="T101" s="576"/>
      <c r="U101" s="576"/>
      <c r="V101" s="576"/>
      <c r="W101" s="576"/>
    </row>
    <row r="102" spans="16:23" ht="12.75">
      <c r="P102" s="576"/>
      <c r="Q102" s="576"/>
      <c r="R102" s="576"/>
      <c r="S102" s="576"/>
      <c r="T102" s="576"/>
      <c r="U102" s="576"/>
      <c r="V102" s="576"/>
      <c r="W102" s="576"/>
    </row>
    <row r="103" spans="16:23" ht="12.75">
      <c r="P103" s="576"/>
      <c r="Q103" s="576"/>
      <c r="R103" s="576"/>
      <c r="S103" s="576"/>
      <c r="T103" s="576"/>
      <c r="U103" s="576"/>
      <c r="V103" s="576"/>
      <c r="W103" s="576"/>
    </row>
    <row r="104" spans="16:23" ht="12.75">
      <c r="P104" s="576"/>
      <c r="Q104" s="576"/>
      <c r="R104" s="576"/>
      <c r="S104" s="576"/>
      <c r="T104" s="576"/>
      <c r="U104" s="576"/>
      <c r="V104" s="576"/>
      <c r="W104" s="576"/>
    </row>
    <row r="105" spans="16:23" ht="12.75">
      <c r="P105" s="576"/>
      <c r="Q105" s="576"/>
      <c r="R105" s="576"/>
      <c r="S105" s="576"/>
      <c r="T105" s="576"/>
      <c r="U105" s="576"/>
      <c r="V105" s="576"/>
      <c r="W105" s="576"/>
    </row>
    <row r="106" spans="16:23" ht="12.75">
      <c r="P106" s="576"/>
      <c r="Q106" s="576"/>
      <c r="R106" s="576"/>
      <c r="S106" s="576"/>
      <c r="T106" s="576"/>
      <c r="U106" s="576"/>
      <c r="V106" s="576"/>
      <c r="W106" s="576"/>
    </row>
    <row r="107" spans="16:23" ht="12.75">
      <c r="P107" s="576"/>
      <c r="Q107" s="576"/>
      <c r="R107" s="576"/>
      <c r="S107" s="576"/>
      <c r="T107" s="576"/>
      <c r="U107" s="576"/>
      <c r="V107" s="576"/>
      <c r="W107" s="576"/>
    </row>
    <row r="108" spans="16:23" ht="12.75">
      <c r="P108" s="576"/>
      <c r="Q108" s="576"/>
      <c r="R108" s="576"/>
      <c r="S108" s="576"/>
      <c r="T108" s="576"/>
      <c r="U108" s="576"/>
      <c r="V108" s="576"/>
      <c r="W108" s="576"/>
    </row>
    <row r="109" spans="16:23" ht="12.75">
      <c r="P109" s="576"/>
      <c r="Q109" s="576"/>
      <c r="R109" s="576"/>
      <c r="S109" s="576"/>
      <c r="T109" s="576"/>
      <c r="U109" s="576"/>
      <c r="V109" s="576"/>
      <c r="W109" s="576"/>
    </row>
    <row r="110" spans="16:23" ht="12.75">
      <c r="P110" s="576"/>
      <c r="Q110" s="576"/>
      <c r="R110" s="576"/>
      <c r="S110" s="576"/>
      <c r="T110" s="576"/>
      <c r="U110" s="576"/>
      <c r="V110" s="576"/>
      <c r="W110" s="576"/>
    </row>
    <row r="111" spans="16:23" ht="12.75">
      <c r="P111" s="576"/>
      <c r="Q111" s="576"/>
      <c r="R111" s="576"/>
      <c r="S111" s="576"/>
      <c r="T111" s="576"/>
      <c r="U111" s="576"/>
      <c r="V111" s="576"/>
      <c r="W111" s="576"/>
    </row>
    <row r="112" spans="16:23" ht="12.75">
      <c r="P112" s="576"/>
      <c r="Q112" s="576"/>
      <c r="R112" s="576"/>
      <c r="S112" s="576"/>
      <c r="T112" s="576"/>
      <c r="U112" s="576"/>
      <c r="V112" s="576"/>
      <c r="W112" s="576"/>
    </row>
    <row r="113" spans="16:23" ht="12.75">
      <c r="P113" s="576"/>
      <c r="Q113" s="576"/>
      <c r="R113" s="576"/>
      <c r="S113" s="576"/>
      <c r="T113" s="576"/>
      <c r="U113" s="576"/>
      <c r="V113" s="576"/>
      <c r="W113" s="576"/>
    </row>
    <row r="114" spans="16:23" ht="12.75">
      <c r="P114" s="576"/>
      <c r="Q114" s="576"/>
      <c r="R114" s="576"/>
      <c r="S114" s="576"/>
      <c r="T114" s="576"/>
      <c r="U114" s="576"/>
      <c r="V114" s="576"/>
      <c r="W114" s="576"/>
    </row>
    <row r="115" spans="16:23" ht="12.75">
      <c r="P115" s="576"/>
      <c r="Q115" s="576"/>
      <c r="R115" s="576"/>
      <c r="S115" s="576"/>
      <c r="T115" s="576"/>
      <c r="U115" s="576"/>
      <c r="V115" s="576"/>
      <c r="W115" s="576"/>
    </row>
    <row r="116" spans="16:23" ht="12.75">
      <c r="P116" s="576"/>
      <c r="Q116" s="576"/>
      <c r="R116" s="576"/>
      <c r="S116" s="576"/>
      <c r="T116" s="576"/>
      <c r="U116" s="576"/>
      <c r="V116" s="576"/>
      <c r="W116" s="576"/>
    </row>
    <row r="117" spans="16:23" ht="12.75">
      <c r="P117" s="576"/>
      <c r="Q117" s="576"/>
      <c r="R117" s="576"/>
      <c r="S117" s="576"/>
      <c r="T117" s="576"/>
      <c r="U117" s="576"/>
      <c r="V117" s="576"/>
      <c r="W117" s="576"/>
    </row>
    <row r="118" spans="16:23" ht="12.75">
      <c r="P118" s="576"/>
      <c r="Q118" s="576"/>
      <c r="R118" s="576"/>
      <c r="S118" s="576"/>
      <c r="T118" s="576"/>
      <c r="U118" s="576"/>
      <c r="V118" s="576"/>
      <c r="W118" s="576"/>
    </row>
    <row r="119" spans="16:23" ht="12.75">
      <c r="P119" s="576"/>
      <c r="Q119" s="576"/>
      <c r="R119" s="576"/>
      <c r="S119" s="576"/>
      <c r="T119" s="576"/>
      <c r="U119" s="576"/>
      <c r="V119" s="576"/>
      <c r="W119" s="576"/>
    </row>
    <row r="120" spans="16:23" ht="12.75">
      <c r="P120" s="576"/>
      <c r="Q120" s="576"/>
      <c r="R120" s="576"/>
      <c r="S120" s="576"/>
      <c r="T120" s="576"/>
      <c r="U120" s="576"/>
      <c r="V120" s="576"/>
      <c r="W120" s="576"/>
    </row>
    <row r="121" spans="16:23" ht="12.75">
      <c r="P121" s="576"/>
      <c r="Q121" s="576"/>
      <c r="R121" s="576"/>
      <c r="S121" s="576"/>
      <c r="T121" s="576"/>
      <c r="U121" s="576"/>
      <c r="V121" s="576"/>
      <c r="W121" s="576"/>
    </row>
    <row r="122" spans="16:23" ht="12.75">
      <c r="P122" s="576"/>
      <c r="Q122" s="576"/>
      <c r="R122" s="576"/>
      <c r="S122" s="576"/>
      <c r="T122" s="576"/>
      <c r="U122" s="576"/>
      <c r="V122" s="576"/>
      <c r="W122" s="576"/>
    </row>
    <row r="123" spans="16:23" ht="12.75">
      <c r="P123" s="576"/>
      <c r="Q123" s="576"/>
      <c r="R123" s="576"/>
      <c r="S123" s="576"/>
      <c r="T123" s="576"/>
      <c r="U123" s="576"/>
      <c r="V123" s="576"/>
      <c r="W123" s="576"/>
    </row>
    <row r="124" spans="16:23" ht="12.75">
      <c r="P124" s="576"/>
      <c r="Q124" s="576"/>
      <c r="R124" s="576"/>
      <c r="S124" s="576"/>
      <c r="T124" s="576"/>
      <c r="U124" s="576"/>
      <c r="V124" s="576"/>
      <c r="W124" s="576"/>
    </row>
    <row r="125" spans="16:23" ht="12.75">
      <c r="P125" s="576"/>
      <c r="Q125" s="576"/>
      <c r="R125" s="576"/>
      <c r="S125" s="576"/>
      <c r="T125" s="576"/>
      <c r="U125" s="576"/>
      <c r="V125" s="576"/>
      <c r="W125" s="576"/>
    </row>
    <row r="126" spans="16:23" ht="12.75">
      <c r="P126" s="576"/>
      <c r="Q126" s="576"/>
      <c r="R126" s="576"/>
      <c r="S126" s="576"/>
      <c r="T126" s="576"/>
      <c r="U126" s="576"/>
      <c r="V126" s="576"/>
      <c r="W126" s="576"/>
    </row>
    <row r="127" spans="16:23" ht="12.75">
      <c r="P127" s="576"/>
      <c r="Q127" s="576"/>
      <c r="R127" s="576"/>
      <c r="S127" s="576"/>
      <c r="T127" s="576"/>
      <c r="U127" s="576"/>
      <c r="V127" s="576"/>
      <c r="W127" s="576"/>
    </row>
    <row r="128" spans="16:23" ht="12.75">
      <c r="P128" s="576"/>
      <c r="Q128" s="576"/>
      <c r="R128" s="576"/>
      <c r="S128" s="576"/>
      <c r="T128" s="576"/>
      <c r="U128" s="576"/>
      <c r="V128" s="576"/>
      <c r="W128" s="576"/>
    </row>
    <row r="129" spans="16:23" ht="12.75">
      <c r="P129" s="576"/>
      <c r="Q129" s="576"/>
      <c r="R129" s="576"/>
      <c r="S129" s="576"/>
      <c r="T129" s="576"/>
      <c r="U129" s="576"/>
      <c r="V129" s="576"/>
      <c r="W129" s="576"/>
    </row>
    <row r="130" spans="16:23" ht="12.75">
      <c r="P130" s="576"/>
      <c r="Q130" s="576"/>
      <c r="R130" s="576"/>
      <c r="S130" s="576"/>
      <c r="T130" s="576"/>
      <c r="U130" s="576"/>
      <c r="V130" s="576"/>
      <c r="W130" s="576"/>
    </row>
    <row r="131" spans="16:23" ht="12.75">
      <c r="P131" s="576"/>
      <c r="Q131" s="576"/>
      <c r="R131" s="576"/>
      <c r="S131" s="576"/>
      <c r="T131" s="576"/>
      <c r="U131" s="576"/>
      <c r="V131" s="576"/>
      <c r="W131" s="576"/>
    </row>
    <row r="132" spans="16:23" ht="12.75">
      <c r="P132" s="576"/>
      <c r="Q132" s="576"/>
      <c r="R132" s="576"/>
      <c r="S132" s="576"/>
      <c r="T132" s="576"/>
      <c r="U132" s="576"/>
      <c r="V132" s="576"/>
      <c r="W132" s="576"/>
    </row>
    <row r="133" spans="16:23" ht="12.75">
      <c r="P133" s="576"/>
      <c r="Q133" s="576"/>
      <c r="R133" s="576"/>
      <c r="S133" s="576"/>
      <c r="T133" s="576"/>
      <c r="U133" s="576"/>
      <c r="V133" s="576"/>
      <c r="W133" s="576"/>
    </row>
    <row r="134" spans="16:23" ht="12.75">
      <c r="P134" s="576"/>
      <c r="Q134" s="576"/>
      <c r="R134" s="576"/>
      <c r="S134" s="576"/>
      <c r="T134" s="576"/>
      <c r="U134" s="576"/>
      <c r="V134" s="576"/>
      <c r="W134" s="576"/>
    </row>
    <row r="135" spans="16:23" ht="12.75">
      <c r="P135" s="576"/>
      <c r="Q135" s="576"/>
      <c r="R135" s="576"/>
      <c r="S135" s="576"/>
      <c r="T135" s="576"/>
      <c r="U135" s="576"/>
      <c r="V135" s="576"/>
      <c r="W135" s="576"/>
    </row>
    <row r="136" spans="16:23" ht="12.75">
      <c r="P136" s="576"/>
      <c r="Q136" s="576"/>
      <c r="R136" s="576"/>
      <c r="S136" s="576"/>
      <c r="T136" s="576"/>
      <c r="U136" s="576"/>
      <c r="V136" s="576"/>
      <c r="W136" s="576"/>
    </row>
    <row r="137" spans="16:23" ht="12.75">
      <c r="P137" s="576"/>
      <c r="Q137" s="576"/>
      <c r="R137" s="576"/>
      <c r="S137" s="576"/>
      <c r="T137" s="576"/>
      <c r="U137" s="576"/>
      <c r="V137" s="576"/>
      <c r="W137" s="576"/>
    </row>
    <row r="138" spans="16:23" ht="12.75">
      <c r="P138" s="576"/>
      <c r="Q138" s="576"/>
      <c r="R138" s="576"/>
      <c r="S138" s="576"/>
      <c r="T138" s="576"/>
      <c r="U138" s="576"/>
      <c r="V138" s="576"/>
      <c r="W138" s="576"/>
    </row>
    <row r="139" spans="16:23" ht="12.75">
      <c r="P139" s="576"/>
      <c r="Q139" s="576"/>
      <c r="R139" s="576"/>
      <c r="S139" s="576"/>
      <c r="T139" s="576"/>
      <c r="U139" s="576"/>
      <c r="V139" s="576"/>
      <c r="W139" s="576"/>
    </row>
    <row r="140" spans="16:23" ht="12.75">
      <c r="P140" s="576"/>
      <c r="Q140" s="576"/>
      <c r="R140" s="576"/>
      <c r="S140" s="576"/>
      <c r="T140" s="576"/>
      <c r="U140" s="576"/>
      <c r="V140" s="576"/>
      <c r="W140" s="576"/>
    </row>
    <row r="141" spans="16:23" ht="12.75">
      <c r="P141" s="576"/>
      <c r="Q141" s="576"/>
      <c r="R141" s="576"/>
      <c r="S141" s="576"/>
      <c r="T141" s="576"/>
      <c r="U141" s="576"/>
      <c r="V141" s="576"/>
      <c r="W141" s="576"/>
    </row>
    <row r="142" spans="16:23" ht="12.75">
      <c r="P142" s="576"/>
      <c r="Q142" s="576"/>
      <c r="R142" s="576"/>
      <c r="S142" s="576"/>
      <c r="T142" s="576"/>
      <c r="U142" s="576"/>
      <c r="V142" s="576"/>
      <c r="W142" s="576"/>
    </row>
    <row r="143" spans="16:23" ht="12.75">
      <c r="P143" s="576"/>
      <c r="Q143" s="576"/>
      <c r="R143" s="576"/>
      <c r="S143" s="576"/>
      <c r="T143" s="576"/>
      <c r="U143" s="576"/>
      <c r="V143" s="576"/>
      <c r="W143" s="576"/>
    </row>
    <row r="144" spans="16:23" ht="12.75">
      <c r="P144" s="576"/>
      <c r="Q144" s="576"/>
      <c r="R144" s="576"/>
      <c r="S144" s="576"/>
      <c r="T144" s="576"/>
      <c r="U144" s="576"/>
      <c r="V144" s="576"/>
      <c r="W144" s="576"/>
    </row>
    <row r="145" spans="16:23" ht="12.75">
      <c r="P145" s="576"/>
      <c r="Q145" s="576"/>
      <c r="R145" s="576"/>
      <c r="S145" s="576"/>
      <c r="T145" s="576"/>
      <c r="U145" s="576"/>
      <c r="V145" s="576"/>
      <c r="W145" s="576"/>
    </row>
    <row r="146" spans="16:23" ht="12.75">
      <c r="P146" s="576"/>
      <c r="Q146" s="576"/>
      <c r="R146" s="576"/>
      <c r="S146" s="576"/>
      <c r="T146" s="576"/>
      <c r="U146" s="576"/>
      <c r="V146" s="576"/>
      <c r="W146" s="576"/>
    </row>
    <row r="147" spans="16:23" ht="12.75">
      <c r="P147" s="576"/>
      <c r="Q147" s="576"/>
      <c r="R147" s="576"/>
      <c r="S147" s="576"/>
      <c r="T147" s="576"/>
      <c r="U147" s="576"/>
      <c r="V147" s="576"/>
      <c r="W147" s="576"/>
    </row>
    <row r="148" spans="16:23" ht="12.75">
      <c r="P148" s="576"/>
      <c r="Q148" s="576"/>
      <c r="R148" s="576"/>
      <c r="S148" s="576"/>
      <c r="T148" s="576"/>
      <c r="U148" s="576"/>
      <c r="V148" s="576"/>
      <c r="W148" s="576"/>
    </row>
    <row r="149" spans="16:23" ht="12.75">
      <c r="P149" s="576"/>
      <c r="Q149" s="576"/>
      <c r="R149" s="576"/>
      <c r="S149" s="576"/>
      <c r="T149" s="576"/>
      <c r="U149" s="576"/>
      <c r="V149" s="576"/>
      <c r="W149" s="576"/>
    </row>
    <row r="150" spans="16:23" ht="12.75">
      <c r="P150" s="576"/>
      <c r="Q150" s="576"/>
      <c r="R150" s="576"/>
      <c r="S150" s="576"/>
      <c r="T150" s="576"/>
      <c r="U150" s="576"/>
      <c r="V150" s="576"/>
      <c r="W150" s="576"/>
    </row>
    <row r="151" spans="16:23" ht="12.75">
      <c r="P151" s="576"/>
      <c r="Q151" s="576"/>
      <c r="R151" s="576"/>
      <c r="S151" s="576"/>
      <c r="T151" s="576"/>
      <c r="U151" s="576"/>
      <c r="V151" s="576"/>
      <c r="W151" s="576"/>
    </row>
    <row r="152" spans="16:23" ht="12.75">
      <c r="P152" s="576"/>
      <c r="Q152" s="576"/>
      <c r="R152" s="576"/>
      <c r="S152" s="576"/>
      <c r="T152" s="576"/>
      <c r="U152" s="576"/>
      <c r="V152" s="576"/>
      <c r="W152" s="576"/>
    </row>
    <row r="153" spans="16:23" ht="12.75">
      <c r="P153" s="576"/>
      <c r="Q153" s="576"/>
      <c r="R153" s="576"/>
      <c r="S153" s="576"/>
      <c r="T153" s="576"/>
      <c r="U153" s="576"/>
      <c r="V153" s="576"/>
      <c r="W153" s="576"/>
    </row>
    <row r="154" spans="16:23" ht="12.75">
      <c r="P154" s="576"/>
      <c r="Q154" s="576"/>
      <c r="R154" s="576"/>
      <c r="S154" s="576"/>
      <c r="T154" s="576"/>
      <c r="U154" s="576"/>
      <c r="V154" s="576"/>
      <c r="W154" s="576"/>
    </row>
    <row r="155" spans="16:23" ht="12.75">
      <c r="P155" s="576"/>
      <c r="Q155" s="576"/>
      <c r="R155" s="576"/>
      <c r="S155" s="576"/>
      <c r="T155" s="576"/>
      <c r="U155" s="576"/>
      <c r="V155" s="576"/>
      <c r="W155" s="576"/>
    </row>
    <row r="156" spans="16:23" ht="12.75">
      <c r="P156" s="576"/>
      <c r="Q156" s="576"/>
      <c r="R156" s="576"/>
      <c r="S156" s="576"/>
      <c r="T156" s="576"/>
      <c r="U156" s="576"/>
      <c r="V156" s="576"/>
      <c r="W156" s="576"/>
    </row>
    <row r="157" spans="16:23" ht="12.75">
      <c r="P157" s="576"/>
      <c r="Q157" s="576"/>
      <c r="R157" s="576"/>
      <c r="S157" s="576"/>
      <c r="T157" s="576"/>
      <c r="U157" s="576"/>
      <c r="V157" s="576"/>
      <c r="W157" s="576"/>
    </row>
    <row r="158" spans="16:23" ht="12.75">
      <c r="P158" s="576"/>
      <c r="Q158" s="576"/>
      <c r="R158" s="576"/>
      <c r="S158" s="576"/>
      <c r="T158" s="576"/>
      <c r="U158" s="576"/>
      <c r="V158" s="576"/>
      <c r="W158" s="576"/>
    </row>
    <row r="159" spans="16:23" ht="12.75">
      <c r="P159" s="576"/>
      <c r="Q159" s="576"/>
      <c r="R159" s="576"/>
      <c r="S159" s="576"/>
      <c r="T159" s="576"/>
      <c r="U159" s="576"/>
      <c r="V159" s="576"/>
      <c r="W159" s="576"/>
    </row>
    <row r="160" spans="16:23" ht="12.75">
      <c r="P160" s="576"/>
      <c r="Q160" s="576"/>
      <c r="R160" s="576"/>
      <c r="S160" s="576"/>
      <c r="T160" s="576"/>
      <c r="U160" s="576"/>
      <c r="V160" s="576"/>
      <c r="W160" s="576"/>
    </row>
    <row r="161" spans="16:23" ht="12.75">
      <c r="P161" s="576"/>
      <c r="Q161" s="576"/>
      <c r="R161" s="576"/>
      <c r="S161" s="576"/>
      <c r="T161" s="576"/>
      <c r="U161" s="576"/>
      <c r="V161" s="576"/>
      <c r="W161" s="576"/>
    </row>
    <row r="162" spans="16:23" ht="12.75">
      <c r="P162" s="576"/>
      <c r="Q162" s="576"/>
      <c r="R162" s="576"/>
      <c r="S162" s="576"/>
      <c r="T162" s="576"/>
      <c r="U162" s="576"/>
      <c r="V162" s="576"/>
      <c r="W162" s="576"/>
    </row>
    <row r="163" spans="16:23" ht="12.75">
      <c r="P163" s="576"/>
      <c r="Q163" s="576"/>
      <c r="R163" s="576"/>
      <c r="S163" s="576"/>
      <c r="T163" s="576"/>
      <c r="U163" s="576"/>
      <c r="V163" s="576"/>
      <c r="W163" s="576"/>
    </row>
    <row r="164" spans="16:23" ht="12.75">
      <c r="P164" s="576"/>
      <c r="Q164" s="576"/>
      <c r="R164" s="576"/>
      <c r="S164" s="576"/>
      <c r="T164" s="576"/>
      <c r="U164" s="576"/>
      <c r="V164" s="576"/>
      <c r="W164" s="576"/>
    </row>
    <row r="165" spans="16:23" ht="12.75">
      <c r="P165" s="576"/>
      <c r="Q165" s="576"/>
      <c r="R165" s="576"/>
      <c r="S165" s="576"/>
      <c r="T165" s="576"/>
      <c r="U165" s="576"/>
      <c r="V165" s="576"/>
      <c r="W165" s="576"/>
    </row>
    <row r="166" spans="16:23" ht="12.75">
      <c r="P166" s="576"/>
      <c r="Q166" s="576"/>
      <c r="R166" s="576"/>
      <c r="S166" s="576"/>
      <c r="T166" s="576"/>
      <c r="U166" s="576"/>
      <c r="V166" s="576"/>
      <c r="W166" s="576"/>
    </row>
    <row r="167" spans="16:23" ht="12.75">
      <c r="P167" s="576"/>
      <c r="Q167" s="576"/>
      <c r="R167" s="576"/>
      <c r="S167" s="576"/>
      <c r="T167" s="576"/>
      <c r="U167" s="576"/>
      <c r="V167" s="576"/>
      <c r="W167" s="576"/>
    </row>
    <row r="168" spans="16:23" ht="12.75">
      <c r="P168" s="576"/>
      <c r="Q168" s="576"/>
      <c r="R168" s="576"/>
      <c r="S168" s="576"/>
      <c r="T168" s="576"/>
      <c r="U168" s="576"/>
      <c r="V168" s="576"/>
      <c r="W168" s="576"/>
    </row>
    <row r="169" spans="16:23" ht="12.75">
      <c r="P169" s="576"/>
      <c r="Q169" s="576"/>
      <c r="R169" s="576"/>
      <c r="S169" s="576"/>
      <c r="T169" s="576"/>
      <c r="U169" s="576"/>
      <c r="V169" s="576"/>
      <c r="W169" s="576"/>
    </row>
    <row r="170" spans="16:23" ht="12.75">
      <c r="P170" s="576"/>
      <c r="Q170" s="576"/>
      <c r="R170" s="576"/>
      <c r="S170" s="576"/>
      <c r="T170" s="576"/>
      <c r="U170" s="576"/>
      <c r="V170" s="576"/>
      <c r="W170" s="576"/>
    </row>
    <row r="171" spans="16:23" ht="12.75">
      <c r="P171" s="576"/>
      <c r="Q171" s="576"/>
      <c r="R171" s="576"/>
      <c r="S171" s="576"/>
      <c r="T171" s="576"/>
      <c r="U171" s="576"/>
      <c r="V171" s="576"/>
      <c r="W171" s="576"/>
    </row>
    <row r="172" spans="16:23" ht="12.75">
      <c r="P172" s="576"/>
      <c r="Q172" s="576"/>
      <c r="R172" s="576"/>
      <c r="S172" s="576"/>
      <c r="T172" s="576"/>
      <c r="U172" s="576"/>
      <c r="V172" s="576"/>
      <c r="W172" s="576"/>
    </row>
    <row r="173" spans="16:23" ht="12.75">
      <c r="P173" s="576"/>
      <c r="Q173" s="576"/>
      <c r="R173" s="576"/>
      <c r="S173" s="576"/>
      <c r="T173" s="576"/>
      <c r="U173" s="576"/>
      <c r="V173" s="576"/>
      <c r="W173" s="576"/>
    </row>
    <row r="174" spans="16:23" ht="12.75">
      <c r="P174" s="576"/>
      <c r="Q174" s="576"/>
      <c r="R174" s="576"/>
      <c r="S174" s="576"/>
      <c r="T174" s="576"/>
      <c r="U174" s="576"/>
      <c r="V174" s="576"/>
      <c r="W174" s="576"/>
    </row>
    <row r="175" spans="16:23" ht="12.75">
      <c r="P175" s="576"/>
      <c r="Q175" s="576"/>
      <c r="R175" s="576"/>
      <c r="S175" s="576"/>
      <c r="T175" s="576"/>
      <c r="U175" s="576"/>
      <c r="V175" s="576"/>
      <c r="W175" s="576"/>
    </row>
    <row r="176" spans="16:23" ht="12.75">
      <c r="P176" s="576"/>
      <c r="Q176" s="576"/>
      <c r="R176" s="576"/>
      <c r="S176" s="576"/>
      <c r="T176" s="576"/>
      <c r="U176" s="576"/>
      <c r="V176" s="576"/>
      <c r="W176" s="576"/>
    </row>
    <row r="177" spans="16:23" ht="12.75">
      <c r="P177" s="576"/>
      <c r="Q177" s="576"/>
      <c r="R177" s="576"/>
      <c r="S177" s="576"/>
      <c r="T177" s="576"/>
      <c r="U177" s="576"/>
      <c r="V177" s="576"/>
      <c r="W177" s="576"/>
    </row>
    <row r="178" spans="16:23" ht="12.75">
      <c r="P178" s="576"/>
      <c r="Q178" s="576"/>
      <c r="R178" s="576"/>
      <c r="S178" s="576"/>
      <c r="T178" s="576"/>
      <c r="U178" s="576"/>
      <c r="V178" s="576"/>
      <c r="W178" s="576"/>
    </row>
    <row r="179" spans="16:23" ht="12.75">
      <c r="P179" s="576"/>
      <c r="Q179" s="576"/>
      <c r="R179" s="576"/>
      <c r="S179" s="576"/>
      <c r="T179" s="576"/>
      <c r="U179" s="576"/>
      <c r="V179" s="576"/>
      <c r="W179" s="576"/>
    </row>
    <row r="180" spans="16:23" ht="12.75">
      <c r="P180" s="576"/>
      <c r="Q180" s="576"/>
      <c r="R180" s="576"/>
      <c r="S180" s="576"/>
      <c r="T180" s="576"/>
      <c r="U180" s="576"/>
      <c r="V180" s="576"/>
      <c r="W180" s="576"/>
    </row>
    <row r="181" spans="16:23" ht="12.75">
      <c r="P181" s="576"/>
      <c r="Q181" s="576"/>
      <c r="R181" s="576"/>
      <c r="S181" s="576"/>
      <c r="T181" s="576"/>
      <c r="U181" s="576"/>
      <c r="V181" s="576"/>
      <c r="W181" s="576"/>
    </row>
    <row r="182" spans="16:23" ht="12.75">
      <c r="P182" s="576"/>
      <c r="Q182" s="576"/>
      <c r="R182" s="576"/>
      <c r="S182" s="576"/>
      <c r="T182" s="576"/>
      <c r="U182" s="576"/>
      <c r="V182" s="576"/>
      <c r="W182" s="576"/>
    </row>
    <row r="183" spans="16:23" ht="12.75">
      <c r="P183" s="576"/>
      <c r="Q183" s="576"/>
      <c r="R183" s="576"/>
      <c r="S183" s="576"/>
      <c r="T183" s="576"/>
      <c r="U183" s="576"/>
      <c r="V183" s="576"/>
      <c r="W183" s="576"/>
    </row>
    <row r="184" spans="16:23" ht="12.75">
      <c r="P184" s="576"/>
      <c r="Q184" s="576"/>
      <c r="R184" s="576"/>
      <c r="S184" s="576"/>
      <c r="T184" s="576"/>
      <c r="U184" s="576"/>
      <c r="V184" s="576"/>
      <c r="W184" s="576"/>
    </row>
    <row r="185" spans="16:23" ht="12.75">
      <c r="P185" s="576"/>
      <c r="Q185" s="576"/>
      <c r="R185" s="576"/>
      <c r="S185" s="576"/>
      <c r="T185" s="576"/>
      <c r="U185" s="576"/>
      <c r="V185" s="576"/>
      <c r="W185" s="576"/>
    </row>
    <row r="186" spans="16:23" ht="12.75">
      <c r="P186" s="576"/>
      <c r="Q186" s="576"/>
      <c r="R186" s="576"/>
      <c r="S186" s="576"/>
      <c r="T186" s="576"/>
      <c r="U186" s="576"/>
      <c r="V186" s="576"/>
      <c r="W186" s="576"/>
    </row>
    <row r="187" spans="16:23" ht="12.75">
      <c r="P187" s="576"/>
      <c r="Q187" s="576"/>
      <c r="R187" s="576"/>
      <c r="S187" s="576"/>
      <c r="T187" s="576"/>
      <c r="U187" s="576"/>
      <c r="V187" s="576"/>
      <c r="W187" s="576"/>
    </row>
    <row r="188" spans="16:23" ht="12.75">
      <c r="P188" s="576"/>
      <c r="Q188" s="576"/>
      <c r="R188" s="576"/>
      <c r="S188" s="576"/>
      <c r="T188" s="576"/>
      <c r="U188" s="576"/>
      <c r="V188" s="576"/>
      <c r="W188" s="576"/>
    </row>
    <row r="189" spans="16:23" ht="12.75">
      <c r="P189" s="576"/>
      <c r="Q189" s="576"/>
      <c r="R189" s="576"/>
      <c r="S189" s="576"/>
      <c r="T189" s="576"/>
      <c r="U189" s="576"/>
      <c r="V189" s="576"/>
      <c r="W189" s="576"/>
    </row>
    <row r="190" spans="16:23" ht="12.75">
      <c r="P190" s="576"/>
      <c r="Q190" s="576"/>
      <c r="R190" s="576"/>
      <c r="S190" s="576"/>
      <c r="T190" s="576"/>
      <c r="U190" s="576"/>
      <c r="V190" s="576"/>
      <c r="W190" s="576"/>
    </row>
    <row r="191" spans="16:23" ht="12.75">
      <c r="P191" s="576"/>
      <c r="Q191" s="576"/>
      <c r="R191" s="576"/>
      <c r="S191" s="576"/>
      <c r="T191" s="576"/>
      <c r="U191" s="576"/>
      <c r="V191" s="576"/>
      <c r="W191" s="576"/>
    </row>
    <row r="192" spans="16:23" ht="12.75">
      <c r="P192" s="576"/>
      <c r="Q192" s="576"/>
      <c r="R192" s="576"/>
      <c r="S192" s="576"/>
      <c r="T192" s="576"/>
      <c r="U192" s="576"/>
      <c r="V192" s="576"/>
      <c r="W192" s="576"/>
    </row>
    <row r="193" spans="16:23" ht="12.75">
      <c r="P193" s="576"/>
      <c r="Q193" s="576"/>
      <c r="R193" s="576"/>
      <c r="S193" s="576"/>
      <c r="T193" s="576"/>
      <c r="U193" s="576"/>
      <c r="V193" s="576"/>
      <c r="W193" s="576"/>
    </row>
    <row r="194" spans="16:23" ht="12.75">
      <c r="P194" s="576"/>
      <c r="Q194" s="576"/>
      <c r="R194" s="576"/>
      <c r="S194" s="576"/>
      <c r="T194" s="576"/>
      <c r="U194" s="576"/>
      <c r="V194" s="576"/>
      <c r="W194" s="576"/>
    </row>
    <row r="195" spans="16:23" ht="12.75">
      <c r="P195" s="576"/>
      <c r="Q195" s="576"/>
      <c r="R195" s="576"/>
      <c r="S195" s="576"/>
      <c r="T195" s="576"/>
      <c r="U195" s="576"/>
      <c r="V195" s="576"/>
      <c r="W195" s="576"/>
    </row>
    <row r="196" spans="16:23" ht="12.75">
      <c r="P196" s="576"/>
      <c r="Q196" s="576"/>
      <c r="R196" s="576"/>
      <c r="S196" s="576"/>
      <c r="T196" s="576"/>
      <c r="U196" s="576"/>
      <c r="V196" s="576"/>
      <c r="W196" s="576"/>
    </row>
    <row r="197" spans="16:23" ht="12.75">
      <c r="P197" s="576"/>
      <c r="Q197" s="576"/>
      <c r="R197" s="576"/>
      <c r="S197" s="576"/>
      <c r="T197" s="576"/>
      <c r="U197" s="576"/>
      <c r="V197" s="576"/>
      <c r="W197" s="576"/>
    </row>
    <row r="198" spans="16:23" ht="12.75">
      <c r="P198" s="576"/>
      <c r="Q198" s="576"/>
      <c r="R198" s="576"/>
      <c r="S198" s="576"/>
      <c r="T198" s="576"/>
      <c r="U198" s="576"/>
      <c r="V198" s="576"/>
      <c r="W198" s="576"/>
    </row>
    <row r="199" spans="16:23" ht="12.75">
      <c r="P199" s="576"/>
      <c r="Q199" s="576"/>
      <c r="R199" s="576"/>
      <c r="S199" s="576"/>
      <c r="T199" s="576"/>
      <c r="U199" s="576"/>
      <c r="V199" s="576"/>
      <c r="W199" s="576"/>
    </row>
    <row r="200" spans="16:23" ht="12.75">
      <c r="P200" s="576"/>
      <c r="Q200" s="576"/>
      <c r="R200" s="576"/>
      <c r="S200" s="576"/>
      <c r="T200" s="576"/>
      <c r="U200" s="576"/>
      <c r="V200" s="576"/>
      <c r="W200" s="576"/>
    </row>
    <row r="201" spans="16:23" ht="12.75">
      <c r="P201" s="576"/>
      <c r="Q201" s="576"/>
      <c r="R201" s="576"/>
      <c r="S201" s="576"/>
      <c r="T201" s="576"/>
      <c r="U201" s="576"/>
      <c r="V201" s="576"/>
      <c r="W201" s="576"/>
    </row>
    <row r="202" spans="16:23" ht="12.75">
      <c r="P202" s="576"/>
      <c r="Q202" s="576"/>
      <c r="R202" s="576"/>
      <c r="S202" s="576"/>
      <c r="T202" s="576"/>
      <c r="U202" s="576"/>
      <c r="V202" s="576"/>
      <c r="W202" s="576"/>
    </row>
    <row r="203" spans="16:23" ht="12.75">
      <c r="P203" s="576"/>
      <c r="Q203" s="576"/>
      <c r="R203" s="576"/>
      <c r="S203" s="576"/>
      <c r="T203" s="576"/>
      <c r="U203" s="576"/>
      <c r="V203" s="576"/>
      <c r="W203" s="576"/>
    </row>
    <row r="204" spans="16:23" ht="12.75">
      <c r="P204" s="576"/>
      <c r="Q204" s="576"/>
      <c r="R204" s="576"/>
      <c r="S204" s="576"/>
      <c r="T204" s="576"/>
      <c r="U204" s="576"/>
      <c r="V204" s="576"/>
      <c r="W204" s="576"/>
    </row>
    <row r="205" spans="16:23" ht="12.75">
      <c r="P205" s="576"/>
      <c r="Q205" s="576"/>
      <c r="R205" s="576"/>
      <c r="S205" s="576"/>
      <c r="T205" s="576"/>
      <c r="U205" s="576"/>
      <c r="V205" s="576"/>
      <c r="W205" s="576"/>
    </row>
    <row r="206" spans="16:23" ht="12.75">
      <c r="P206" s="576"/>
      <c r="Q206" s="576"/>
      <c r="R206" s="576"/>
      <c r="S206" s="576"/>
      <c r="T206" s="576"/>
      <c r="U206" s="576"/>
      <c r="V206" s="576"/>
      <c r="W206" s="576"/>
    </row>
    <row r="207" spans="16:23" ht="12.75">
      <c r="P207" s="576"/>
      <c r="Q207" s="576"/>
      <c r="R207" s="576"/>
      <c r="S207" s="576"/>
      <c r="T207" s="576"/>
      <c r="U207" s="576"/>
      <c r="V207" s="576"/>
      <c r="W207" s="576"/>
    </row>
    <row r="208" spans="16:23" ht="12.75">
      <c r="P208" s="576"/>
      <c r="Q208" s="576"/>
      <c r="R208" s="576"/>
      <c r="S208" s="576"/>
      <c r="T208" s="576"/>
      <c r="U208" s="576"/>
      <c r="V208" s="576"/>
      <c r="W208" s="576"/>
    </row>
    <row r="209" spans="16:23" ht="12.75">
      <c r="P209" s="576"/>
      <c r="Q209" s="576"/>
      <c r="R209" s="576"/>
      <c r="S209" s="576"/>
      <c r="T209" s="576"/>
      <c r="U209" s="576"/>
      <c r="V209" s="576"/>
      <c r="W209" s="576"/>
    </row>
    <row r="210" spans="16:23" ht="12.75">
      <c r="P210" s="576"/>
      <c r="Q210" s="576"/>
      <c r="R210" s="576"/>
      <c r="S210" s="576"/>
      <c r="T210" s="576"/>
      <c r="U210" s="576"/>
      <c r="V210" s="576"/>
      <c r="W210" s="576"/>
    </row>
    <row r="211" spans="16:23" ht="12.75">
      <c r="P211" s="576"/>
      <c r="Q211" s="576"/>
      <c r="R211" s="576"/>
      <c r="S211" s="576"/>
      <c r="T211" s="576"/>
      <c r="U211" s="576"/>
      <c r="V211" s="576"/>
      <c r="W211" s="576"/>
    </row>
    <row r="212" spans="16:23" ht="12.75">
      <c r="P212" s="576"/>
      <c r="Q212" s="576"/>
      <c r="R212" s="576"/>
      <c r="S212" s="576"/>
      <c r="T212" s="576"/>
      <c r="U212" s="576"/>
      <c r="V212" s="576"/>
      <c r="W212" s="576"/>
    </row>
    <row r="213" spans="16:23" ht="12.75">
      <c r="P213" s="576"/>
      <c r="Q213" s="576"/>
      <c r="R213" s="576"/>
      <c r="S213" s="576"/>
      <c r="T213" s="576"/>
      <c r="U213" s="576"/>
      <c r="V213" s="576"/>
      <c r="W213" s="576"/>
    </row>
    <row r="214" spans="16:23" ht="12.75">
      <c r="P214" s="576"/>
      <c r="Q214" s="576"/>
      <c r="R214" s="576"/>
      <c r="S214" s="576"/>
      <c r="T214" s="576"/>
      <c r="U214" s="576"/>
      <c r="V214" s="576"/>
      <c r="W214" s="576"/>
    </row>
    <row r="215" spans="16:23" ht="12.75">
      <c r="P215" s="576"/>
      <c r="Q215" s="576"/>
      <c r="R215" s="576"/>
      <c r="S215" s="576"/>
      <c r="T215" s="576"/>
      <c r="U215" s="576"/>
      <c r="V215" s="576"/>
      <c r="W215" s="576"/>
    </row>
    <row r="216" spans="16:23" ht="12.75">
      <c r="P216" s="576"/>
      <c r="Q216" s="576"/>
      <c r="R216" s="576"/>
      <c r="S216" s="576"/>
      <c r="T216" s="576"/>
      <c r="U216" s="576"/>
      <c r="V216" s="576"/>
      <c r="W216" s="576"/>
    </row>
    <row r="217" spans="16:23" ht="12.75">
      <c r="P217" s="576"/>
      <c r="Q217" s="576"/>
      <c r="R217" s="576"/>
      <c r="S217" s="576"/>
      <c r="T217" s="576"/>
      <c r="U217" s="576"/>
      <c r="V217" s="576"/>
      <c r="W217" s="576"/>
    </row>
    <row r="218" spans="16:23" ht="12.75">
      <c r="P218" s="576"/>
      <c r="Q218" s="576"/>
      <c r="R218" s="576"/>
      <c r="S218" s="576"/>
      <c r="T218" s="576"/>
      <c r="U218" s="576"/>
      <c r="V218" s="576"/>
      <c r="W218" s="576"/>
    </row>
    <row r="219" spans="16:23" ht="12.75">
      <c r="P219" s="576"/>
      <c r="Q219" s="576"/>
      <c r="R219" s="576"/>
      <c r="S219" s="576"/>
      <c r="T219" s="576"/>
      <c r="U219" s="576"/>
      <c r="V219" s="576"/>
      <c r="W219" s="576"/>
    </row>
    <row r="220" spans="16:23" ht="12.75">
      <c r="P220" s="576"/>
      <c r="Q220" s="576"/>
      <c r="R220" s="576"/>
      <c r="S220" s="576"/>
      <c r="T220" s="576"/>
      <c r="U220" s="576"/>
      <c r="V220" s="576"/>
      <c r="W220" s="576"/>
    </row>
    <row r="221" spans="16:23" ht="12.75">
      <c r="P221" s="576"/>
      <c r="Q221" s="576"/>
      <c r="R221" s="576"/>
      <c r="S221" s="576"/>
      <c r="T221" s="576"/>
      <c r="U221" s="576"/>
      <c r="V221" s="576"/>
      <c r="W221" s="576"/>
    </row>
    <row r="222" spans="16:23" ht="12.75">
      <c r="P222" s="576"/>
      <c r="Q222" s="576"/>
      <c r="R222" s="576"/>
      <c r="S222" s="576"/>
      <c r="T222" s="576"/>
      <c r="U222" s="576"/>
      <c r="V222" s="576"/>
      <c r="W222" s="576"/>
    </row>
    <row r="223" spans="16:23" ht="12.75">
      <c r="P223" s="576"/>
      <c r="Q223" s="576"/>
      <c r="R223" s="576"/>
      <c r="S223" s="576"/>
      <c r="T223" s="576"/>
      <c r="U223" s="576"/>
      <c r="V223" s="576"/>
      <c r="W223" s="576"/>
    </row>
    <row r="224" spans="16:23" ht="12.75">
      <c r="P224" s="576"/>
      <c r="Q224" s="576"/>
      <c r="R224" s="576"/>
      <c r="S224" s="576"/>
      <c r="T224" s="576"/>
      <c r="U224" s="576"/>
      <c r="V224" s="576"/>
      <c r="W224" s="576"/>
    </row>
    <row r="225" spans="16:23" ht="12.75">
      <c r="P225" s="576"/>
      <c r="Q225" s="576"/>
      <c r="R225" s="576"/>
      <c r="S225" s="576"/>
      <c r="T225" s="576"/>
      <c r="U225" s="576"/>
      <c r="V225" s="576"/>
      <c r="W225" s="576"/>
    </row>
    <row r="226" spans="16:23" ht="12.75">
      <c r="P226" s="576"/>
      <c r="Q226" s="576"/>
      <c r="R226" s="576"/>
      <c r="S226" s="576"/>
      <c r="T226" s="576"/>
      <c r="U226" s="576"/>
      <c r="V226" s="576"/>
      <c r="W226" s="576"/>
    </row>
    <row r="227" spans="16:23" ht="12.75">
      <c r="P227" s="576"/>
      <c r="Q227" s="576"/>
      <c r="R227" s="576"/>
      <c r="S227" s="576"/>
      <c r="T227" s="576"/>
      <c r="U227" s="576"/>
      <c r="V227" s="576"/>
      <c r="W227" s="576"/>
    </row>
    <row r="228" spans="16:23" ht="12.75">
      <c r="P228" s="576"/>
      <c r="Q228" s="576"/>
      <c r="R228" s="576"/>
      <c r="S228" s="576"/>
      <c r="T228" s="576"/>
      <c r="U228" s="576"/>
      <c r="V228" s="576"/>
      <c r="W228" s="576"/>
    </row>
    <row r="229" spans="16:23" ht="12.75">
      <c r="P229" s="576"/>
      <c r="Q229" s="576"/>
      <c r="R229" s="576"/>
      <c r="S229" s="576"/>
      <c r="T229" s="576"/>
      <c r="U229" s="576"/>
      <c r="V229" s="576"/>
      <c r="W229" s="576"/>
    </row>
    <row r="230" spans="16:23" ht="12.75">
      <c r="P230" s="576"/>
      <c r="Q230" s="576"/>
      <c r="R230" s="576"/>
      <c r="S230" s="576"/>
      <c r="T230" s="576"/>
      <c r="U230" s="576"/>
      <c r="V230" s="576"/>
      <c r="W230" s="576"/>
    </row>
    <row r="231" spans="16:23" ht="12.75">
      <c r="P231" s="576"/>
      <c r="Q231" s="576"/>
      <c r="R231" s="576"/>
      <c r="S231" s="576"/>
      <c r="T231" s="576"/>
      <c r="U231" s="576"/>
      <c r="V231" s="576"/>
      <c r="W231" s="576"/>
    </row>
    <row r="232" spans="16:23" ht="12.75">
      <c r="P232" s="576"/>
      <c r="Q232" s="576"/>
      <c r="R232" s="576"/>
      <c r="S232" s="576"/>
      <c r="T232" s="576"/>
      <c r="U232" s="576"/>
      <c r="V232" s="576"/>
      <c r="W232" s="576"/>
    </row>
    <row r="233" spans="16:23" ht="12.75">
      <c r="P233" s="576"/>
      <c r="Q233" s="576"/>
      <c r="R233" s="576"/>
      <c r="S233" s="576"/>
      <c r="T233" s="576"/>
      <c r="U233" s="576"/>
      <c r="V233" s="576"/>
      <c r="W233" s="576"/>
    </row>
    <row r="234" spans="16:23" ht="12.75">
      <c r="P234" s="576"/>
      <c r="Q234" s="576"/>
      <c r="R234" s="576"/>
      <c r="S234" s="576"/>
      <c r="T234" s="576"/>
      <c r="U234" s="576"/>
      <c r="V234" s="576"/>
      <c r="W234" s="576"/>
    </row>
    <row r="235" spans="16:23" ht="12.75">
      <c r="P235" s="576"/>
      <c r="Q235" s="576"/>
      <c r="R235" s="576"/>
      <c r="S235" s="576"/>
      <c r="T235" s="576"/>
      <c r="U235" s="576"/>
      <c r="V235" s="576"/>
      <c r="W235" s="576"/>
    </row>
    <row r="236" spans="16:23" ht="12.75">
      <c r="P236" s="576"/>
      <c r="Q236" s="576"/>
      <c r="R236" s="576"/>
      <c r="S236" s="576"/>
      <c r="T236" s="576"/>
      <c r="U236" s="576"/>
      <c r="V236" s="576"/>
      <c r="W236" s="576"/>
    </row>
    <row r="237" spans="16:23" ht="12.75">
      <c r="P237" s="576"/>
      <c r="Q237" s="576"/>
      <c r="R237" s="576"/>
      <c r="S237" s="576"/>
      <c r="T237" s="576"/>
      <c r="U237" s="576"/>
      <c r="V237" s="576"/>
      <c r="W237" s="576"/>
    </row>
    <row r="238" spans="16:23" ht="12.75">
      <c r="P238" s="576"/>
      <c r="Q238" s="576"/>
      <c r="R238" s="576"/>
      <c r="S238" s="576"/>
      <c r="T238" s="576"/>
      <c r="U238" s="576"/>
      <c r="V238" s="576"/>
      <c r="W238" s="576"/>
    </row>
    <row r="239" spans="16:23" ht="12.75">
      <c r="P239" s="576"/>
      <c r="Q239" s="576"/>
      <c r="R239" s="576"/>
      <c r="S239" s="576"/>
      <c r="T239" s="576"/>
      <c r="U239" s="576"/>
      <c r="V239" s="576"/>
      <c r="W239" s="576"/>
    </row>
    <row r="240" spans="16:23" ht="12.75">
      <c r="P240" s="576"/>
      <c r="Q240" s="576"/>
      <c r="R240" s="576"/>
      <c r="S240" s="576"/>
      <c r="T240" s="576"/>
      <c r="U240" s="576"/>
      <c r="V240" s="576"/>
      <c r="W240" s="576"/>
    </row>
    <row r="241" spans="16:23" ht="12.75">
      <c r="P241" s="576"/>
      <c r="Q241" s="576"/>
      <c r="R241" s="576"/>
      <c r="S241" s="576"/>
      <c r="T241" s="576"/>
      <c r="U241" s="576"/>
      <c r="V241" s="576"/>
      <c r="W241" s="576"/>
    </row>
    <row r="242" spans="16:23" ht="12.75">
      <c r="P242" s="576"/>
      <c r="Q242" s="576"/>
      <c r="R242" s="576"/>
      <c r="S242" s="576"/>
      <c r="T242" s="576"/>
      <c r="U242" s="576"/>
      <c r="V242" s="576"/>
      <c r="W242" s="576"/>
    </row>
    <row r="243" spans="16:23" ht="12.75">
      <c r="P243" s="576"/>
      <c r="Q243" s="576"/>
      <c r="R243" s="576"/>
      <c r="S243" s="576"/>
      <c r="T243" s="576"/>
      <c r="U243" s="576"/>
      <c r="V243" s="576"/>
      <c r="W243" s="576"/>
    </row>
    <row r="244" spans="16:23" ht="12.75">
      <c r="P244" s="576"/>
      <c r="Q244" s="576"/>
      <c r="R244" s="576"/>
      <c r="S244" s="576"/>
      <c r="T244" s="576"/>
      <c r="U244" s="576"/>
      <c r="V244" s="576"/>
      <c r="W244" s="576"/>
    </row>
    <row r="245" spans="16:23" ht="12.75">
      <c r="P245" s="576"/>
      <c r="Q245" s="576"/>
      <c r="R245" s="576"/>
      <c r="S245" s="576"/>
      <c r="T245" s="576"/>
      <c r="U245" s="576"/>
      <c r="V245" s="576"/>
      <c r="W245" s="576"/>
    </row>
    <row r="246" spans="16:23" ht="12.75">
      <c r="P246" s="576"/>
      <c r="Q246" s="576"/>
      <c r="R246" s="576"/>
      <c r="S246" s="576"/>
      <c r="T246" s="576"/>
      <c r="U246" s="576"/>
      <c r="V246" s="576"/>
      <c r="W246" s="576"/>
    </row>
  </sheetData>
  <sheetProtection/>
  <mergeCells count="3">
    <mergeCell ref="D1:J1"/>
    <mergeCell ref="A3:O3"/>
    <mergeCell ref="D32:J32"/>
  </mergeCells>
  <printOptions horizontalCentered="1"/>
  <pageMargins left="0.2" right="0.2" top="0.36" bottom="0.28" header="0.24" footer="0.16"/>
  <pageSetup horizontalDpi="300" verticalDpi="300" orientation="landscape" paperSize="9" scale="90" r:id="rId1"/>
  <headerFooter alignWithMargins="0">
    <oddHeader>&amp;R12. sz.  melléklet</oddHeader>
  </headerFooter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63"/>
  <sheetViews>
    <sheetView zoomScaleSheetLayoutView="75" zoomScalePageLayoutView="0" workbookViewId="0" topLeftCell="A18">
      <selection activeCell="E33" sqref="E33"/>
    </sheetView>
  </sheetViews>
  <sheetFormatPr defaultColWidth="9.00390625" defaultRowHeight="12.75"/>
  <cols>
    <col min="1" max="1" width="45.75390625" style="0" customWidth="1"/>
    <col min="2" max="2" width="20.25390625" style="0" customWidth="1"/>
    <col min="3" max="3" width="12.75390625" style="0" bestFit="1" customWidth="1"/>
    <col min="4" max="4" width="18.375" style="0" customWidth="1"/>
    <col min="5" max="5" width="19.375" style="0" customWidth="1"/>
    <col min="6" max="8" width="13.00390625" style="0" customWidth="1"/>
  </cols>
  <sheetData>
    <row r="1" ht="15">
      <c r="A1" s="634" t="s">
        <v>453</v>
      </c>
    </row>
    <row r="2" spans="1:4" ht="21.75" customHeight="1" thickBot="1">
      <c r="A2" s="1052" t="s">
        <v>454</v>
      </c>
      <c r="B2" s="1052"/>
      <c r="C2" s="1052"/>
      <c r="D2" s="1052"/>
    </row>
    <row r="3" spans="1:5" s="442" customFormat="1" ht="27.75" customHeight="1" thickBot="1">
      <c r="A3" s="635"/>
      <c r="B3" s="1053" t="s">
        <v>455</v>
      </c>
      <c r="C3" s="1054"/>
      <c r="D3" s="636" t="s">
        <v>315</v>
      </c>
      <c r="E3" s="441"/>
    </row>
    <row r="4" spans="1:5" ht="27.75" customHeight="1">
      <c r="A4" s="637" t="s">
        <v>456</v>
      </c>
      <c r="B4" s="1055">
        <v>593</v>
      </c>
      <c r="C4" s="1056"/>
      <c r="D4" s="638">
        <v>340</v>
      </c>
      <c r="E4" s="639"/>
    </row>
    <row r="5" spans="1:5" ht="27.75" customHeight="1">
      <c r="A5" s="637" t="s">
        <v>457</v>
      </c>
      <c r="B5" s="1055">
        <v>13040</v>
      </c>
      <c r="C5" s="1056"/>
      <c r="D5" s="638">
        <v>13040</v>
      </c>
      <c r="E5" s="639"/>
    </row>
    <row r="6" spans="1:5" ht="27.75" customHeight="1" thickBot="1">
      <c r="A6" s="637" t="s">
        <v>458</v>
      </c>
      <c r="B6" s="1055">
        <v>415000</v>
      </c>
      <c r="C6" s="1056"/>
      <c r="D6" s="638">
        <v>0</v>
      </c>
      <c r="E6" s="639"/>
    </row>
    <row r="7" spans="1:5" s="442" customFormat="1" ht="27.75" customHeight="1" thickBot="1">
      <c r="A7" s="635" t="s">
        <v>377</v>
      </c>
      <c r="B7" s="1057">
        <f>SUM(B4:C6)</f>
        <v>428633</v>
      </c>
      <c r="C7" s="1058"/>
      <c r="D7" s="640">
        <f>SUM(D4:D6)</f>
        <v>13380</v>
      </c>
      <c r="E7" s="641"/>
    </row>
    <row r="10" spans="1:5" ht="15.75">
      <c r="A10" s="1050" t="s">
        <v>459</v>
      </c>
      <c r="B10" s="1050"/>
      <c r="C10" s="1050"/>
      <c r="D10" s="1050"/>
      <c r="E10" s="1050"/>
    </row>
    <row r="11" spans="1:4" ht="16.5" thickBot="1">
      <c r="A11" s="642"/>
      <c r="B11" s="642"/>
      <c r="C11" s="642"/>
      <c r="D11" s="642"/>
    </row>
    <row r="12" spans="1:5" s="646" customFormat="1" ht="26.25" thickBot="1">
      <c r="A12" s="643" t="s">
        <v>460</v>
      </c>
      <c r="B12" s="644" t="s">
        <v>461</v>
      </c>
      <c r="C12" s="644" t="s">
        <v>462</v>
      </c>
      <c r="D12" s="644" t="s">
        <v>463</v>
      </c>
      <c r="E12" s="645" t="s">
        <v>464</v>
      </c>
    </row>
    <row r="13" spans="1:5" s="646" customFormat="1" ht="25.5">
      <c r="A13" s="647" t="s">
        <v>465</v>
      </c>
      <c r="B13" s="648" t="s">
        <v>466</v>
      </c>
      <c r="C13" s="649">
        <v>52720</v>
      </c>
      <c r="D13" s="650">
        <v>44192</v>
      </c>
      <c r="E13" s="651">
        <f>3932+3414+1075+1075+4300+1003+5448</f>
        <v>20247</v>
      </c>
    </row>
    <row r="14" spans="1:5" s="646" customFormat="1" ht="25.5">
      <c r="A14" s="647" t="s">
        <v>467</v>
      </c>
      <c r="B14" s="648" t="s">
        <v>468</v>
      </c>
      <c r="C14" s="649">
        <v>107068</v>
      </c>
      <c r="D14" s="650">
        <v>44192</v>
      </c>
      <c r="E14" s="651">
        <f>10682+6934+2185+2185+8740+2037+11071</f>
        <v>43834</v>
      </c>
    </row>
    <row r="15" spans="1:5" s="646" customFormat="1" ht="16.5" customHeight="1">
      <c r="A15" s="647" t="s">
        <v>469</v>
      </c>
      <c r="B15" s="648" t="s">
        <v>470</v>
      </c>
      <c r="C15" s="649">
        <v>2749</v>
      </c>
      <c r="D15" s="650">
        <v>41034</v>
      </c>
      <c r="E15" s="651">
        <f>426+452+288+452+555+193+961</f>
        <v>3327</v>
      </c>
    </row>
    <row r="16" spans="1:5" s="646" customFormat="1" ht="25.5">
      <c r="A16" s="647" t="s">
        <v>471</v>
      </c>
      <c r="B16" s="648" t="s">
        <v>472</v>
      </c>
      <c r="C16" s="649">
        <v>2200081</v>
      </c>
      <c r="D16" s="650">
        <v>46854</v>
      </c>
      <c r="E16" s="651">
        <f>160000+39153+74756+37339+38384</f>
        <v>349632</v>
      </c>
    </row>
    <row r="17" spans="1:20" ht="21.75" customHeight="1">
      <c r="A17" s="647" t="s">
        <v>471</v>
      </c>
      <c r="B17" s="648" t="s">
        <v>473</v>
      </c>
      <c r="C17" s="649">
        <v>49844</v>
      </c>
      <c r="D17" s="652" t="s">
        <v>474</v>
      </c>
      <c r="E17" s="651">
        <f>2124+6230+4759+8383+9422</f>
        <v>30918</v>
      </c>
      <c r="R17" s="1051" t="s">
        <v>475</v>
      </c>
      <c r="S17" s="1051"/>
      <c r="T17" s="1051"/>
    </row>
    <row r="18" spans="1:5" ht="38.25">
      <c r="A18" s="647" t="s">
        <v>476</v>
      </c>
      <c r="B18" s="648" t="s">
        <v>477</v>
      </c>
      <c r="C18" s="649">
        <v>26</v>
      </c>
      <c r="D18" s="652" t="s">
        <v>315</v>
      </c>
      <c r="E18" s="651">
        <v>0</v>
      </c>
    </row>
    <row r="19" spans="1:5" ht="38.25">
      <c r="A19" s="656" t="s">
        <v>478</v>
      </c>
      <c r="B19" s="653" t="s">
        <v>479</v>
      </c>
      <c r="C19" s="657">
        <v>225</v>
      </c>
      <c r="D19" s="658" t="s">
        <v>315</v>
      </c>
      <c r="E19" s="655">
        <v>0</v>
      </c>
    </row>
    <row r="20" spans="1:5" ht="25.5">
      <c r="A20" s="656" t="s">
        <v>480</v>
      </c>
      <c r="B20" s="653" t="s">
        <v>481</v>
      </c>
      <c r="C20" s="657">
        <v>225</v>
      </c>
      <c r="D20" s="654" t="s">
        <v>315</v>
      </c>
      <c r="E20" s="655">
        <v>0</v>
      </c>
    </row>
    <row r="21" spans="1:5" ht="25.5">
      <c r="A21" s="656" t="s">
        <v>482</v>
      </c>
      <c r="B21" s="653" t="s">
        <v>483</v>
      </c>
      <c r="C21" s="657">
        <v>282</v>
      </c>
      <c r="D21" s="654" t="s">
        <v>315</v>
      </c>
      <c r="E21" s="655">
        <v>0</v>
      </c>
    </row>
    <row r="22" spans="1:5" ht="25.5">
      <c r="A22" s="659" t="s">
        <v>484</v>
      </c>
      <c r="B22" s="660" t="s">
        <v>483</v>
      </c>
      <c r="C22" s="661">
        <v>340</v>
      </c>
      <c r="D22" s="662" t="s">
        <v>315</v>
      </c>
      <c r="E22" s="663">
        <v>0</v>
      </c>
    </row>
    <row r="23" spans="1:5" ht="25.5">
      <c r="A23" s="659" t="s">
        <v>485</v>
      </c>
      <c r="B23" s="660" t="s">
        <v>486</v>
      </c>
      <c r="C23" s="661">
        <v>536</v>
      </c>
      <c r="D23" s="664" t="s">
        <v>315</v>
      </c>
      <c r="E23" s="663">
        <v>0</v>
      </c>
    </row>
    <row r="24" spans="1:5" ht="25.5">
      <c r="A24" s="656" t="s">
        <v>487</v>
      </c>
      <c r="B24" s="653" t="s">
        <v>488</v>
      </c>
      <c r="C24" s="657">
        <v>487</v>
      </c>
      <c r="D24" s="654" t="s">
        <v>489</v>
      </c>
      <c r="E24" s="655">
        <v>0</v>
      </c>
    </row>
    <row r="25" spans="1:5" ht="26.25" thickBot="1">
      <c r="A25" s="665" t="s">
        <v>490</v>
      </c>
      <c r="B25" s="666" t="s">
        <v>491</v>
      </c>
      <c r="C25" s="667">
        <v>200</v>
      </c>
      <c r="D25" s="668" t="s">
        <v>489</v>
      </c>
      <c r="E25" s="669">
        <v>0</v>
      </c>
    </row>
    <row r="26" spans="1:5" ht="12.75">
      <c r="A26" s="447"/>
      <c r="B26" s="670"/>
      <c r="C26" s="447"/>
      <c r="D26" s="671"/>
      <c r="E26" s="447"/>
    </row>
    <row r="27" spans="1:5" ht="13.5" thickBot="1">
      <c r="A27" s="447"/>
      <c r="B27" s="670"/>
      <c r="C27" s="447"/>
      <c r="D27" s="671"/>
      <c r="E27" s="273" t="s">
        <v>51</v>
      </c>
    </row>
    <row r="28" spans="1:5" ht="13.5" thickBot="1">
      <c r="A28" s="672"/>
      <c r="B28" s="673" t="s">
        <v>492</v>
      </c>
      <c r="C28" s="673" t="s">
        <v>346</v>
      </c>
      <c r="D28" s="673" t="s">
        <v>493</v>
      </c>
      <c r="E28" s="674" t="s">
        <v>494</v>
      </c>
    </row>
    <row r="29" spans="1:5" ht="12.75">
      <c r="A29" s="647" t="s">
        <v>495</v>
      </c>
      <c r="B29" s="675">
        <v>5448</v>
      </c>
      <c r="C29" s="676">
        <v>5448</v>
      </c>
      <c r="D29" s="676">
        <v>5448</v>
      </c>
      <c r="E29" s="651">
        <f>38398-5448</f>
        <v>32950</v>
      </c>
    </row>
    <row r="30" spans="1:5" ht="12.75">
      <c r="A30" s="647" t="s">
        <v>496</v>
      </c>
      <c r="B30" s="676">
        <v>11074</v>
      </c>
      <c r="C30" s="676">
        <v>11074</v>
      </c>
      <c r="D30" s="676">
        <v>11074</v>
      </c>
      <c r="E30" s="651">
        <f>81922-11074</f>
        <v>70848</v>
      </c>
    </row>
    <row r="31" spans="1:5" ht="12.75">
      <c r="A31" s="647" t="s">
        <v>497</v>
      </c>
      <c r="B31" s="676">
        <v>961</v>
      </c>
      <c r="C31" s="676">
        <v>340</v>
      </c>
      <c r="D31" s="676">
        <v>0</v>
      </c>
      <c r="E31" s="651">
        <v>0</v>
      </c>
    </row>
    <row r="32" spans="1:5" ht="12.75">
      <c r="A32" s="647" t="s">
        <v>498</v>
      </c>
      <c r="B32" s="676">
        <v>38348</v>
      </c>
      <c r="C32" s="677">
        <v>38348</v>
      </c>
      <c r="D32" s="677">
        <v>262294</v>
      </c>
      <c r="E32" s="678">
        <v>3247217</v>
      </c>
    </row>
    <row r="33" spans="1:5" ht="12.75">
      <c r="A33" s="679" t="s">
        <v>499</v>
      </c>
      <c r="B33" s="680">
        <v>9422</v>
      </c>
      <c r="C33" s="680">
        <v>9422</v>
      </c>
      <c r="D33" s="680">
        <v>9422</v>
      </c>
      <c r="E33" s="681">
        <f>23053-9422</f>
        <v>13631</v>
      </c>
    </row>
    <row r="34" spans="1:5" ht="12.75">
      <c r="A34" s="656" t="s">
        <v>500</v>
      </c>
      <c r="B34" s="682">
        <v>0</v>
      </c>
      <c r="C34" s="682">
        <v>26</v>
      </c>
      <c r="D34" s="682">
        <v>0</v>
      </c>
      <c r="E34" s="683">
        <v>0</v>
      </c>
    </row>
    <row r="35" spans="1:5" ht="12.75">
      <c r="A35" s="656" t="s">
        <v>501</v>
      </c>
      <c r="B35" s="649">
        <v>0</v>
      </c>
      <c r="C35" s="649">
        <v>225</v>
      </c>
      <c r="D35" s="649">
        <v>0</v>
      </c>
      <c r="E35" s="651">
        <v>0</v>
      </c>
    </row>
    <row r="36" spans="1:5" ht="12.75">
      <c r="A36" s="656" t="s">
        <v>502</v>
      </c>
      <c r="B36" s="649">
        <v>0</v>
      </c>
      <c r="C36" s="684">
        <v>225</v>
      </c>
      <c r="D36" s="684">
        <v>0</v>
      </c>
      <c r="E36" s="685">
        <v>0</v>
      </c>
    </row>
    <row r="37" spans="1:5" ht="12.75">
      <c r="A37" s="656" t="s">
        <v>503</v>
      </c>
      <c r="B37" s="657">
        <v>0</v>
      </c>
      <c r="C37" s="657">
        <v>282</v>
      </c>
      <c r="D37" s="657">
        <v>0</v>
      </c>
      <c r="E37" s="655">
        <v>0</v>
      </c>
    </row>
    <row r="38" spans="1:5" ht="12.75">
      <c r="A38" s="656" t="s">
        <v>504</v>
      </c>
      <c r="B38" s="657">
        <v>0</v>
      </c>
      <c r="C38" s="657">
        <v>340</v>
      </c>
      <c r="D38" s="657">
        <v>0</v>
      </c>
      <c r="E38" s="655">
        <v>0</v>
      </c>
    </row>
    <row r="39" spans="1:5" ht="12.75">
      <c r="A39" s="659" t="s">
        <v>505</v>
      </c>
      <c r="B39" s="661"/>
      <c r="C39" s="661">
        <v>536</v>
      </c>
      <c r="D39" s="661">
        <v>0</v>
      </c>
      <c r="E39" s="663">
        <v>0</v>
      </c>
    </row>
    <row r="40" spans="1:5" ht="12.75">
      <c r="A40" s="656" t="s">
        <v>506</v>
      </c>
      <c r="B40" s="657">
        <v>0</v>
      </c>
      <c r="C40" s="657">
        <v>0</v>
      </c>
      <c r="D40" s="657">
        <v>487</v>
      </c>
      <c r="E40" s="655">
        <v>0</v>
      </c>
    </row>
    <row r="41" spans="1:5" ht="13.5" thickBot="1">
      <c r="A41" s="665" t="s">
        <v>507</v>
      </c>
      <c r="B41" s="686">
        <v>0</v>
      </c>
      <c r="C41" s="686">
        <v>0</v>
      </c>
      <c r="D41" s="687">
        <v>200</v>
      </c>
      <c r="E41" s="688">
        <v>0</v>
      </c>
    </row>
    <row r="42" spans="2:5" ht="12.75">
      <c r="B42" s="689"/>
      <c r="C42" s="689"/>
      <c r="D42" s="689"/>
      <c r="E42" s="689"/>
    </row>
    <row r="43" spans="2:5" ht="12.75">
      <c r="B43" s="690"/>
      <c r="C43" s="690"/>
      <c r="D43" s="690"/>
      <c r="E43" s="690"/>
    </row>
    <row r="44" spans="2:5" ht="12.75">
      <c r="B44" s="690"/>
      <c r="C44" s="690"/>
      <c r="D44" s="690"/>
      <c r="E44" s="690"/>
    </row>
    <row r="45" spans="2:5" ht="12.75">
      <c r="B45" s="690"/>
      <c r="C45" s="691"/>
      <c r="D45" s="447"/>
      <c r="E45" s="447"/>
    </row>
    <row r="46" spans="2:5" ht="12.75">
      <c r="B46" s="447"/>
      <c r="C46" s="447"/>
      <c r="D46" s="447"/>
      <c r="E46" s="447"/>
    </row>
    <row r="47" spans="2:5" ht="12.75">
      <c r="B47" s="447"/>
      <c r="C47" s="447"/>
      <c r="D47" s="447"/>
      <c r="E47" s="447"/>
    </row>
    <row r="48" spans="2:5" ht="12.75">
      <c r="B48" s="447"/>
      <c r="C48" s="447"/>
      <c r="D48" s="447"/>
      <c r="E48" s="447"/>
    </row>
    <row r="49" spans="2:5" ht="12.75">
      <c r="B49" s="692"/>
      <c r="C49" s="692"/>
      <c r="D49" s="692"/>
      <c r="E49" s="692"/>
    </row>
    <row r="50" spans="2:5" ht="12.75">
      <c r="B50" s="447"/>
      <c r="C50" s="447"/>
      <c r="D50" s="447"/>
      <c r="E50" s="447"/>
    </row>
    <row r="51" spans="2:5" ht="12.75">
      <c r="B51" s="690"/>
      <c r="C51" s="690"/>
      <c r="D51" s="690"/>
      <c r="E51" s="690"/>
    </row>
    <row r="52" spans="2:5" ht="12.75">
      <c r="B52" s="690"/>
      <c r="C52" s="690"/>
      <c r="D52" s="690"/>
      <c r="E52" s="690"/>
    </row>
    <row r="53" spans="2:5" ht="12.75">
      <c r="B53" s="447"/>
      <c r="C53" s="447"/>
      <c r="D53" s="447"/>
      <c r="E53" s="447"/>
    </row>
    <row r="54" spans="2:5" ht="12.75">
      <c r="B54" s="447"/>
      <c r="C54" s="447"/>
      <c r="D54" s="447"/>
      <c r="E54" s="447"/>
    </row>
    <row r="55" spans="2:5" ht="12.75">
      <c r="B55" s="447"/>
      <c r="C55" s="447"/>
      <c r="D55" s="447"/>
      <c r="E55" s="447"/>
    </row>
    <row r="56" spans="2:5" ht="12.75">
      <c r="B56" s="447"/>
      <c r="C56" s="447"/>
      <c r="D56" s="447"/>
      <c r="E56" s="447"/>
    </row>
    <row r="57" spans="2:5" ht="12.75">
      <c r="B57" s="692"/>
      <c r="C57" s="692"/>
      <c r="D57" s="692"/>
      <c r="E57" s="447"/>
    </row>
    <row r="58" spans="2:5" ht="12.75">
      <c r="B58" s="447"/>
      <c r="C58" s="447"/>
      <c r="D58" s="447"/>
      <c r="E58" s="447"/>
    </row>
    <row r="59" spans="2:5" ht="12.75">
      <c r="B59" s="690"/>
      <c r="C59" s="690"/>
      <c r="D59" s="690"/>
      <c r="E59" s="447"/>
    </row>
    <row r="60" spans="2:5" ht="12.75">
      <c r="B60" s="690"/>
      <c r="C60" s="690"/>
      <c r="D60" s="690"/>
      <c r="E60" s="447"/>
    </row>
    <row r="61" spans="2:5" ht="12.75">
      <c r="B61" s="447"/>
      <c r="C61" s="447"/>
      <c r="D61" s="447"/>
      <c r="E61" s="447"/>
    </row>
    <row r="62" spans="2:5" ht="12.75">
      <c r="B62" s="447"/>
      <c r="C62" s="447"/>
      <c r="D62" s="447"/>
      <c r="E62" s="447"/>
    </row>
    <row r="63" spans="2:5" ht="12.75">
      <c r="B63" s="447"/>
      <c r="C63" s="447"/>
      <c r="D63" s="447"/>
      <c r="E63" s="447"/>
    </row>
  </sheetData>
  <sheetProtection/>
  <mergeCells count="8">
    <mergeCell ref="A10:E10"/>
    <mergeCell ref="R17:T17"/>
    <mergeCell ref="A2:D2"/>
    <mergeCell ref="B3:C3"/>
    <mergeCell ref="B4:C4"/>
    <mergeCell ref="B5:C5"/>
    <mergeCell ref="B6:C6"/>
    <mergeCell ref="B7:C7"/>
  </mergeCells>
  <printOptions horizontalCentered="1"/>
  <pageMargins left="0" right="0" top="0.5905511811023623" bottom="0" header="0.35433070866141736" footer="0"/>
  <pageSetup horizontalDpi="600" verticalDpi="600" orientation="portrait" paperSize="9" scale="80" r:id="rId1"/>
  <headerFooter alignWithMargins="0">
    <oddHeader>&amp;R13.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33">
      <selection activeCell="C47" sqref="C47"/>
    </sheetView>
  </sheetViews>
  <sheetFormatPr defaultColWidth="9.00390625" defaultRowHeight="12.75"/>
  <cols>
    <col min="1" max="1" width="49.875" style="0" customWidth="1"/>
    <col min="2" max="2" width="6.25390625" style="0" customWidth="1"/>
    <col min="3" max="3" width="12.625" style="0" customWidth="1"/>
    <col min="4" max="5" width="12.375" style="0" customWidth="1"/>
  </cols>
  <sheetData>
    <row r="1" spans="1:5" ht="12.75">
      <c r="A1" s="555"/>
      <c r="B1" s="555"/>
      <c r="C1" s="555"/>
      <c r="D1" s="1063" t="s">
        <v>508</v>
      </c>
      <c r="E1" s="1063"/>
    </row>
    <row r="2" spans="1:5" ht="15.75">
      <c r="A2" s="1064" t="s">
        <v>509</v>
      </c>
      <c r="B2" s="1064"/>
      <c r="C2" s="1064"/>
      <c r="D2" s="1064"/>
      <c r="E2" s="1064"/>
    </row>
    <row r="3" spans="1:5" ht="15.75">
      <c r="A3" s="1064" t="s">
        <v>510</v>
      </c>
      <c r="B3" s="1064"/>
      <c r="C3" s="1064"/>
      <c r="D3" s="1064"/>
      <c r="E3" s="1064"/>
    </row>
    <row r="4" spans="1:5" ht="15.75">
      <c r="A4" s="693"/>
      <c r="B4" s="693"/>
      <c r="C4" s="693"/>
      <c r="D4" s="693"/>
      <c r="E4" s="693"/>
    </row>
    <row r="5" spans="1:5" ht="16.5" thickBot="1">
      <c r="A5" s="694"/>
      <c r="B5" s="694"/>
      <c r="C5" s="694"/>
      <c r="D5" s="1065" t="s">
        <v>51</v>
      </c>
      <c r="E5" s="1065"/>
    </row>
    <row r="6" spans="1:5" ht="26.25" thickBot="1">
      <c r="A6" s="695" t="s">
        <v>0</v>
      </c>
      <c r="B6" s="695" t="s">
        <v>511</v>
      </c>
      <c r="C6" s="696" t="s">
        <v>512</v>
      </c>
      <c r="D6" s="696" t="s">
        <v>489</v>
      </c>
      <c r="E6" s="696">
        <v>2014</v>
      </c>
    </row>
    <row r="7" spans="1:5" ht="13.5" thickBot="1">
      <c r="A7" s="697">
        <v>1</v>
      </c>
      <c r="B7" s="697">
        <v>2</v>
      </c>
      <c r="C7" s="697">
        <v>3</v>
      </c>
      <c r="D7" s="697">
        <v>4</v>
      </c>
      <c r="E7" s="697">
        <v>5</v>
      </c>
    </row>
    <row r="8" spans="1:5" ht="13.5" thickBot="1">
      <c r="A8" s="1066" t="s">
        <v>513</v>
      </c>
      <c r="B8" s="1066"/>
      <c r="C8" s="1066"/>
      <c r="D8" s="1066"/>
      <c r="E8" s="1066"/>
    </row>
    <row r="9" spans="1:5" ht="12.75">
      <c r="A9" s="698" t="s">
        <v>514</v>
      </c>
      <c r="B9" s="1059" t="s">
        <v>515</v>
      </c>
      <c r="C9" s="1061">
        <f>Bevételek!M7</f>
        <v>95080</v>
      </c>
      <c r="D9" s="1061">
        <f>C9*1.075</f>
        <v>102211</v>
      </c>
      <c r="E9" s="1061">
        <f>D9*1.075</f>
        <v>109876.825</v>
      </c>
    </row>
    <row r="10" spans="1:5" ht="12.75">
      <c r="A10" s="699" t="s">
        <v>516</v>
      </c>
      <c r="B10" s="1060"/>
      <c r="C10" s="1062"/>
      <c r="D10" s="1062"/>
      <c r="E10" s="1062"/>
    </row>
    <row r="11" spans="1:5" ht="12.75">
      <c r="A11" s="700" t="s">
        <v>517</v>
      </c>
      <c r="B11" s="701" t="s">
        <v>518</v>
      </c>
      <c r="C11" s="702">
        <f>Bevételek!M12</f>
        <v>899394.541</v>
      </c>
      <c r="D11" s="702">
        <f>C11*1.075</f>
        <v>966849.1315749999</v>
      </c>
      <c r="E11" s="702">
        <f>D11*1.075</f>
        <v>1039362.8164431248</v>
      </c>
    </row>
    <row r="12" spans="1:5" ht="12.75">
      <c r="A12" s="703" t="s">
        <v>423</v>
      </c>
      <c r="B12" s="701" t="s">
        <v>519</v>
      </c>
      <c r="C12" s="702">
        <v>725827</v>
      </c>
      <c r="D12" s="702">
        <f aca="true" t="shared" si="0" ref="D12:E15">C12*1.075</f>
        <v>780264.025</v>
      </c>
      <c r="E12" s="702">
        <f t="shared" si="0"/>
        <v>838783.826875</v>
      </c>
    </row>
    <row r="13" spans="1:5" ht="12.75">
      <c r="A13" s="700" t="s">
        <v>124</v>
      </c>
      <c r="B13" s="701" t="s">
        <v>520</v>
      </c>
      <c r="C13" s="702">
        <v>129809</v>
      </c>
      <c r="D13" s="702">
        <f t="shared" si="0"/>
        <v>139544.675</v>
      </c>
      <c r="E13" s="702">
        <f t="shared" si="0"/>
        <v>150010.52562499998</v>
      </c>
    </row>
    <row r="14" spans="1:5" ht="12.75">
      <c r="A14" s="700" t="s">
        <v>521</v>
      </c>
      <c r="B14" s="701" t="s">
        <v>522</v>
      </c>
      <c r="C14" s="702">
        <v>0</v>
      </c>
      <c r="D14" s="702">
        <f t="shared" si="0"/>
        <v>0</v>
      </c>
      <c r="E14" s="702">
        <f t="shared" si="0"/>
        <v>0</v>
      </c>
    </row>
    <row r="15" spans="1:5" ht="13.5" thickBot="1">
      <c r="A15" s="700" t="s">
        <v>523</v>
      </c>
      <c r="B15" s="704" t="s">
        <v>524</v>
      </c>
      <c r="C15" s="702">
        <f>'[11]1.a sz.melléklet '!$G$13</f>
        <v>0</v>
      </c>
      <c r="D15" s="702">
        <f t="shared" si="0"/>
        <v>0</v>
      </c>
      <c r="E15" s="702">
        <f t="shared" si="0"/>
        <v>0</v>
      </c>
    </row>
    <row r="16" spans="1:5" ht="26.25" thickBot="1">
      <c r="A16" s="705" t="s">
        <v>126</v>
      </c>
      <c r="B16" s="706" t="s">
        <v>525</v>
      </c>
      <c r="C16" s="707">
        <f>SUM(C9:C15)</f>
        <v>1850110.541</v>
      </c>
      <c r="D16" s="707">
        <f>SUM(D9:D15)</f>
        <v>1988868.831575</v>
      </c>
      <c r="E16" s="707">
        <f>SUM(E9:E15)</f>
        <v>2138033.9939431245</v>
      </c>
    </row>
    <row r="17" spans="1:5" ht="13.5" thickBot="1">
      <c r="A17" s="703" t="s">
        <v>127</v>
      </c>
      <c r="B17" s="708" t="s">
        <v>526</v>
      </c>
      <c r="C17" s="709">
        <f>Bevételek!M37</f>
        <v>13541</v>
      </c>
      <c r="D17" s="709"/>
      <c r="E17" s="709"/>
    </row>
    <row r="18" spans="1:5" ht="13.5" thickBot="1">
      <c r="A18" s="705" t="s">
        <v>128</v>
      </c>
      <c r="B18" s="706" t="s">
        <v>527</v>
      </c>
      <c r="C18" s="707">
        <f>SUM(C17)</f>
        <v>13541</v>
      </c>
      <c r="D18" s="707">
        <f>SUM(D17)</f>
        <v>0</v>
      </c>
      <c r="E18" s="707">
        <f>SUM(E17)</f>
        <v>0</v>
      </c>
    </row>
    <row r="19" spans="1:5" ht="13.5" thickBot="1">
      <c r="A19" s="710" t="s">
        <v>129</v>
      </c>
      <c r="B19" s="708" t="s">
        <v>528</v>
      </c>
      <c r="C19" s="711">
        <f>C16+C17</f>
        <v>1863651.541</v>
      </c>
      <c r="D19" s="711">
        <f>SUM(D18,D16)</f>
        <v>1988868.831575</v>
      </c>
      <c r="E19" s="711">
        <f>SUM(E18,E16)</f>
        <v>2138033.9939431245</v>
      </c>
    </row>
    <row r="20" spans="1:5" ht="12.75">
      <c r="A20" s="700" t="s">
        <v>529</v>
      </c>
      <c r="B20" s="712" t="s">
        <v>530</v>
      </c>
      <c r="C20" s="713">
        <v>0</v>
      </c>
      <c r="D20" s="713"/>
      <c r="E20" s="713"/>
    </row>
    <row r="21" spans="1:5" ht="13.5" thickBot="1">
      <c r="A21" s="700" t="s">
        <v>531</v>
      </c>
      <c r="B21" s="714" t="s">
        <v>532</v>
      </c>
      <c r="C21" s="715">
        <v>0</v>
      </c>
      <c r="D21" s="715"/>
      <c r="E21" s="715"/>
    </row>
    <row r="22" spans="1:5" ht="26.25" thickBot="1">
      <c r="A22" s="710" t="s">
        <v>132</v>
      </c>
      <c r="B22" s="716" t="s">
        <v>533</v>
      </c>
      <c r="C22" s="717">
        <f>SUM(C20:C21)</f>
        <v>0</v>
      </c>
      <c r="D22" s="717">
        <f>SUM(D20:D21)</f>
        <v>0</v>
      </c>
      <c r="E22" s="717">
        <f>SUM(E20:E21)</f>
        <v>0</v>
      </c>
    </row>
    <row r="23" spans="1:5" ht="16.5" thickBot="1">
      <c r="A23" s="718" t="s">
        <v>534</v>
      </c>
      <c r="B23" s="719">
        <v>14</v>
      </c>
      <c r="C23" s="720">
        <f>SUM(C19,C22)</f>
        <v>1863651.541</v>
      </c>
      <c r="D23" s="720">
        <f>SUM(D19,D22)</f>
        <v>1988868.831575</v>
      </c>
      <c r="E23" s="720">
        <f>SUM(E19,E22)</f>
        <v>2138033.9939431245</v>
      </c>
    </row>
    <row r="24" spans="1:5" ht="12.75">
      <c r="A24" s="699" t="s">
        <v>135</v>
      </c>
      <c r="B24" s="716" t="s">
        <v>535</v>
      </c>
      <c r="C24" s="721">
        <f>Kiadás!J10</f>
        <v>859698.0730000001</v>
      </c>
      <c r="D24" s="721">
        <f aca="true" t="shared" si="1" ref="D24:E26">C24*1.075</f>
        <v>924175.4284750001</v>
      </c>
      <c r="E24" s="721">
        <f t="shared" si="1"/>
        <v>993488.5856106251</v>
      </c>
    </row>
    <row r="25" spans="1:5" ht="12.75">
      <c r="A25" s="700" t="s">
        <v>137</v>
      </c>
      <c r="B25" s="701" t="s">
        <v>536</v>
      </c>
      <c r="C25" s="721">
        <f>Kiadás!J11</f>
        <v>221777.28009</v>
      </c>
      <c r="D25" s="721">
        <f t="shared" si="1"/>
        <v>238410.57609674998</v>
      </c>
      <c r="E25" s="721">
        <f t="shared" si="1"/>
        <v>256291.36930400622</v>
      </c>
    </row>
    <row r="26" spans="1:5" ht="12.75">
      <c r="A26" s="703" t="s">
        <v>537</v>
      </c>
      <c r="B26" s="1067" t="s">
        <v>538</v>
      </c>
      <c r="C26" s="1068">
        <f>Kiadás!J12</f>
        <v>700171.984648</v>
      </c>
      <c r="D26" s="1068">
        <f t="shared" si="1"/>
        <v>752684.8834966</v>
      </c>
      <c r="E26" s="1068">
        <f t="shared" si="1"/>
        <v>809136.249758845</v>
      </c>
    </row>
    <row r="27" spans="1:5" ht="12.75">
      <c r="A27" s="699" t="s">
        <v>539</v>
      </c>
      <c r="B27" s="1060"/>
      <c r="C27" s="1069"/>
      <c r="D27" s="1062"/>
      <c r="E27" s="1062"/>
    </row>
    <row r="28" spans="1:5" ht="12.75">
      <c r="A28" s="699" t="s">
        <v>141</v>
      </c>
      <c r="B28" s="716" t="s">
        <v>540</v>
      </c>
      <c r="C28" s="721">
        <v>25000</v>
      </c>
      <c r="D28" s="721">
        <f>C28*1.075</f>
        <v>26875</v>
      </c>
      <c r="E28" s="721">
        <f>D28*1.075</f>
        <v>28890.625</v>
      </c>
    </row>
    <row r="29" spans="1:5" ht="12.75">
      <c r="A29" s="699" t="s">
        <v>143</v>
      </c>
      <c r="B29" s="716" t="s">
        <v>541</v>
      </c>
      <c r="C29" s="721">
        <f>'[11]1.a sz.melléklet '!$G26</f>
        <v>0</v>
      </c>
      <c r="D29" s="721">
        <f aca="true" t="shared" si="2" ref="D29:E32">C29*1.075</f>
        <v>0</v>
      </c>
      <c r="E29" s="721">
        <f t="shared" si="2"/>
        <v>0</v>
      </c>
    </row>
    <row r="30" spans="1:5" ht="12.75">
      <c r="A30" s="700" t="s">
        <v>445</v>
      </c>
      <c r="B30" s="716" t="s">
        <v>542</v>
      </c>
      <c r="C30" s="721">
        <f>Kiadás!J16</f>
        <v>6092</v>
      </c>
      <c r="D30" s="721">
        <f t="shared" si="2"/>
        <v>6548.9</v>
      </c>
      <c r="E30" s="721">
        <f t="shared" si="2"/>
        <v>7040.067499999999</v>
      </c>
    </row>
    <row r="31" spans="1:5" ht="12.75">
      <c r="A31" s="700" t="s">
        <v>147</v>
      </c>
      <c r="B31" s="708" t="s">
        <v>543</v>
      </c>
      <c r="C31" s="721">
        <f>Kiadás!J17</f>
        <v>55782</v>
      </c>
      <c r="D31" s="721">
        <f t="shared" si="2"/>
        <v>59965.649999999994</v>
      </c>
      <c r="E31" s="721">
        <f t="shared" si="2"/>
        <v>64463.07374999999</v>
      </c>
    </row>
    <row r="32" spans="1:5" ht="13.5" thickBot="1">
      <c r="A32" s="700" t="s">
        <v>149</v>
      </c>
      <c r="B32" s="708" t="s">
        <v>544</v>
      </c>
      <c r="C32" s="721">
        <v>10992</v>
      </c>
      <c r="D32" s="721">
        <f t="shared" si="2"/>
        <v>11816.4</v>
      </c>
      <c r="E32" s="721">
        <f t="shared" si="2"/>
        <v>12702.63</v>
      </c>
    </row>
    <row r="33" spans="1:5" ht="26.25" thickBot="1">
      <c r="A33" s="705" t="s">
        <v>151</v>
      </c>
      <c r="B33" s="706" t="s">
        <v>545</v>
      </c>
      <c r="C33" s="707">
        <f>SUM(C24:C32)</f>
        <v>1879513.337738</v>
      </c>
      <c r="D33" s="707">
        <f>SUM(D24:D32)</f>
        <v>2020476.8380683498</v>
      </c>
      <c r="E33" s="707">
        <f>SUM(E24:E32)</f>
        <v>2172012.6009234763</v>
      </c>
    </row>
    <row r="34" spans="1:5" ht="13.5" thickBot="1">
      <c r="A34" s="703" t="s">
        <v>153</v>
      </c>
      <c r="B34" s="706" t="s">
        <v>546</v>
      </c>
      <c r="C34" s="709">
        <f>Kiadás!J31</f>
        <v>5000</v>
      </c>
      <c r="D34" s="709">
        <f>C34*1.075</f>
        <v>5375</v>
      </c>
      <c r="E34" s="709">
        <f>D34*1.075</f>
        <v>5778.125</v>
      </c>
    </row>
    <row r="35" spans="1:5" ht="13.5" thickBot="1">
      <c r="A35" s="705" t="s">
        <v>155</v>
      </c>
      <c r="B35" s="706" t="s">
        <v>547</v>
      </c>
      <c r="C35" s="707">
        <f>SUM(C34)</f>
        <v>5000</v>
      </c>
      <c r="D35" s="707">
        <f>SUM(D34)</f>
        <v>5375</v>
      </c>
      <c r="E35" s="707">
        <f>SUM(E34)</f>
        <v>5778.125</v>
      </c>
    </row>
    <row r="36" spans="1:5" ht="13.5" customHeight="1" thickBot="1">
      <c r="A36" s="710" t="s">
        <v>157</v>
      </c>
      <c r="B36" s="706" t="s">
        <v>548</v>
      </c>
      <c r="C36" s="722">
        <f>SUM(C35,C33)</f>
        <v>1884513.337738</v>
      </c>
      <c r="D36" s="722">
        <f>SUM(D35,D33)</f>
        <v>2025851.8380683498</v>
      </c>
      <c r="E36" s="722">
        <f>SUM(E35,E33)</f>
        <v>2177790.7259234763</v>
      </c>
    </row>
    <row r="37" spans="1:5" ht="13.5" thickBot="1">
      <c r="A37" s="700" t="s">
        <v>549</v>
      </c>
      <c r="B37" s="706" t="s">
        <v>550</v>
      </c>
      <c r="C37" s="721"/>
      <c r="D37" s="721"/>
      <c r="E37" s="721"/>
    </row>
    <row r="38" spans="1:5" ht="13.5" thickBot="1">
      <c r="A38" s="700" t="s">
        <v>551</v>
      </c>
      <c r="B38" s="706" t="s">
        <v>552</v>
      </c>
      <c r="C38" s="702"/>
      <c r="D38" s="702"/>
      <c r="E38" s="702"/>
    </row>
    <row r="39" spans="1:5" ht="13.5" thickBot="1">
      <c r="A39" s="700" t="s">
        <v>553</v>
      </c>
      <c r="B39" s="706" t="s">
        <v>554</v>
      </c>
      <c r="C39" s="723"/>
      <c r="D39" s="723"/>
      <c r="E39" s="723"/>
    </row>
    <row r="40" spans="1:5" ht="15" customHeight="1" thickBot="1">
      <c r="A40" s="710" t="s">
        <v>555</v>
      </c>
      <c r="B40" s="706" t="s">
        <v>556</v>
      </c>
      <c r="C40" s="722">
        <f>SUM(C37:C39)</f>
        <v>0</v>
      </c>
      <c r="D40" s="722">
        <f>SUM(D37:D39)</f>
        <v>0</v>
      </c>
      <c r="E40" s="722">
        <f>SUM(E37:E39)</f>
        <v>0</v>
      </c>
    </row>
    <row r="41" spans="1:5" ht="13.5" thickBot="1">
      <c r="A41" s="724" t="s">
        <v>557</v>
      </c>
      <c r="B41" s="725" t="s">
        <v>558</v>
      </c>
      <c r="C41" s="726">
        <f>SUM(C36,C40)</f>
        <v>1884513.337738</v>
      </c>
      <c r="D41" s="726">
        <f>SUM(D36,D40)</f>
        <v>2025851.8380683498</v>
      </c>
      <c r="E41" s="726">
        <f>SUM(E36,E40)</f>
        <v>2177790.7259234763</v>
      </c>
    </row>
    <row r="42" spans="1:5" ht="12.75">
      <c r="A42" s="1070" t="s">
        <v>559</v>
      </c>
      <c r="B42" s="1070"/>
      <c r="C42" s="1070"/>
      <c r="D42" s="1070"/>
      <c r="E42" s="1070"/>
    </row>
    <row r="43" spans="1:5" ht="12.75">
      <c r="A43" s="700" t="s">
        <v>168</v>
      </c>
      <c r="B43" s="701" t="s">
        <v>560</v>
      </c>
      <c r="C43" s="702">
        <v>114335</v>
      </c>
      <c r="D43" s="702">
        <f>C43*1.075</f>
        <v>122910.125</v>
      </c>
      <c r="E43" s="702">
        <f>D43*1.075</f>
        <v>132128.384375</v>
      </c>
    </row>
    <row r="44" spans="1:5" ht="12.75">
      <c r="A44" s="700" t="s">
        <v>561</v>
      </c>
      <c r="B44" s="701" t="s">
        <v>562</v>
      </c>
      <c r="C44" s="702">
        <v>0</v>
      </c>
      <c r="D44" s="702">
        <f>C44*1.075</f>
        <v>0</v>
      </c>
      <c r="E44" s="702">
        <f>D44*1.075</f>
        <v>0</v>
      </c>
    </row>
    <row r="45" spans="1:5" ht="12.75">
      <c r="A45" s="700" t="s">
        <v>124</v>
      </c>
      <c r="B45" s="701" t="s">
        <v>563</v>
      </c>
      <c r="C45" s="702"/>
      <c r="D45" s="702"/>
      <c r="E45" s="702"/>
    </row>
    <row r="46" spans="1:5" ht="12.75">
      <c r="A46" s="700" t="s">
        <v>521</v>
      </c>
      <c r="B46" s="701" t="s">
        <v>564</v>
      </c>
      <c r="C46" s="702">
        <f>Bevételek!M28</f>
        <v>10000</v>
      </c>
      <c r="D46" s="702"/>
      <c r="E46" s="702"/>
    </row>
    <row r="47" spans="1:5" ht="12.75">
      <c r="A47" s="700" t="s">
        <v>565</v>
      </c>
      <c r="B47" s="701" t="s">
        <v>566</v>
      </c>
      <c r="C47" s="702"/>
      <c r="D47" s="702"/>
      <c r="E47" s="702"/>
    </row>
    <row r="48" spans="1:5" ht="12.75">
      <c r="A48" s="700" t="s">
        <v>567</v>
      </c>
      <c r="B48" s="701" t="s">
        <v>568</v>
      </c>
      <c r="C48" s="702"/>
      <c r="D48" s="702"/>
      <c r="E48" s="702"/>
    </row>
    <row r="49" spans="1:5" ht="13.5" thickBot="1">
      <c r="A49" s="700" t="s">
        <v>569</v>
      </c>
      <c r="B49" s="701" t="s">
        <v>570</v>
      </c>
      <c r="C49" s="702">
        <v>0</v>
      </c>
      <c r="D49" s="702">
        <f>C49*1.075</f>
        <v>0</v>
      </c>
      <c r="E49" s="702">
        <f>D49*1.075</f>
        <v>0</v>
      </c>
    </row>
    <row r="50" spans="1:5" ht="26.25" thickBot="1">
      <c r="A50" s="727" t="s">
        <v>571</v>
      </c>
      <c r="B50" s="701" t="s">
        <v>572</v>
      </c>
      <c r="C50" s="728">
        <f>SUM(C43:C49)</f>
        <v>124335</v>
      </c>
      <c r="D50" s="728">
        <f>SUM(D43:D49)</f>
        <v>122910.125</v>
      </c>
      <c r="E50" s="728">
        <f>SUM(E43:E49)</f>
        <v>132128.384375</v>
      </c>
    </row>
    <row r="51" spans="1:5" ht="13.5" thickBot="1">
      <c r="A51" s="729" t="s">
        <v>573</v>
      </c>
      <c r="B51" s="701" t="s">
        <v>574</v>
      </c>
      <c r="C51" s="730">
        <f>C52</f>
        <v>753112</v>
      </c>
      <c r="D51" s="730">
        <f>C51*1.075</f>
        <v>809595.4</v>
      </c>
      <c r="E51" s="730">
        <f>D51*1.075</f>
        <v>870315.0549999999</v>
      </c>
    </row>
    <row r="52" spans="1:5" ht="26.25" thickBot="1">
      <c r="A52" s="727" t="s">
        <v>177</v>
      </c>
      <c r="B52" s="701" t="s">
        <v>575</v>
      </c>
      <c r="C52" s="728">
        <f>Bevételek!M38</f>
        <v>753112</v>
      </c>
      <c r="D52" s="728">
        <f>SUM(D51)</f>
        <v>809595.4</v>
      </c>
      <c r="E52" s="728">
        <f>SUM(E51)</f>
        <v>870315.0549999999</v>
      </c>
    </row>
    <row r="53" spans="1:5" ht="13.5" thickBot="1">
      <c r="A53" s="731" t="s">
        <v>576</v>
      </c>
      <c r="B53" s="701" t="s">
        <v>577</v>
      </c>
      <c r="C53" s="732">
        <f>SUM(C52,C50)</f>
        <v>877447</v>
      </c>
      <c r="D53" s="732">
        <f>SUM(D52,D50)</f>
        <v>932505.525</v>
      </c>
      <c r="E53" s="732">
        <f>SUM(E52,E50)</f>
        <v>1002443.439375</v>
      </c>
    </row>
    <row r="54" spans="1:5" ht="13.5" thickBot="1">
      <c r="A54" s="700" t="s">
        <v>578</v>
      </c>
      <c r="B54" s="701" t="s">
        <v>579</v>
      </c>
      <c r="C54" s="733">
        <f>'[12]1.a sz.melléklet '!$G$47</f>
        <v>0</v>
      </c>
      <c r="D54" s="733">
        <f>C54*1.075</f>
        <v>0</v>
      </c>
      <c r="E54" s="733">
        <f>D54*1.075</f>
        <v>0</v>
      </c>
    </row>
    <row r="55" spans="1:5" ht="13.5" thickBot="1">
      <c r="A55" s="734" t="s">
        <v>183</v>
      </c>
      <c r="B55" s="701" t="s">
        <v>580</v>
      </c>
      <c r="C55" s="732">
        <f>SUM(C54)</f>
        <v>0</v>
      </c>
      <c r="D55" s="732">
        <f>SUM(D54)</f>
        <v>0</v>
      </c>
      <c r="E55" s="732">
        <f>SUM(E54)</f>
        <v>0</v>
      </c>
    </row>
    <row r="56" spans="1:5" ht="13.5" thickBot="1">
      <c r="A56" s="724" t="s">
        <v>581</v>
      </c>
      <c r="B56" s="735" t="s">
        <v>582</v>
      </c>
      <c r="C56" s="736">
        <f>SUM(C55,C53)</f>
        <v>877447</v>
      </c>
      <c r="D56" s="736">
        <f>SUM(D55,D53)</f>
        <v>932505.525</v>
      </c>
      <c r="E56" s="736">
        <f>SUM(E55,E53)</f>
        <v>1002443.439375</v>
      </c>
    </row>
    <row r="57" spans="1:5" ht="12.75">
      <c r="A57" s="699" t="s">
        <v>583</v>
      </c>
      <c r="B57" s="701" t="s">
        <v>584</v>
      </c>
      <c r="C57" s="721">
        <v>833206</v>
      </c>
      <c r="D57" s="721">
        <f>C57*1.075</f>
        <v>895696.45</v>
      </c>
      <c r="E57" s="721">
        <f>D57*1.075</f>
        <v>962873.68375</v>
      </c>
    </row>
    <row r="58" spans="1:5" ht="12.75">
      <c r="A58" s="700" t="s">
        <v>585</v>
      </c>
      <c r="B58" s="701" t="s">
        <v>586</v>
      </c>
      <c r="C58" s="702">
        <v>0</v>
      </c>
      <c r="D58" s="721">
        <f>C58*1.075</f>
        <v>0</v>
      </c>
      <c r="E58" s="721">
        <f>D58*1.075</f>
        <v>0</v>
      </c>
    </row>
    <row r="59" spans="1:5" ht="12.75">
      <c r="A59" s="700" t="s">
        <v>587</v>
      </c>
      <c r="B59" s="701" t="s">
        <v>588</v>
      </c>
      <c r="C59" s="702"/>
      <c r="D59" s="702"/>
      <c r="E59" s="702"/>
    </row>
    <row r="60" spans="1:5" ht="12.75">
      <c r="A60" s="700" t="s">
        <v>589</v>
      </c>
      <c r="B60" s="701" t="s">
        <v>590</v>
      </c>
      <c r="C60" s="702"/>
      <c r="D60" s="702"/>
      <c r="E60" s="702"/>
    </row>
    <row r="61" spans="1:5" ht="12.75">
      <c r="A61" s="699" t="s">
        <v>141</v>
      </c>
      <c r="B61" s="701" t="s">
        <v>591</v>
      </c>
      <c r="C61" s="702"/>
      <c r="D61" s="702"/>
      <c r="E61" s="702"/>
    </row>
    <row r="62" spans="1:5" ht="12.75">
      <c r="A62" s="700" t="s">
        <v>445</v>
      </c>
      <c r="B62" s="701" t="s">
        <v>592</v>
      </c>
      <c r="C62" s="702"/>
      <c r="D62" s="702"/>
      <c r="E62" s="702"/>
    </row>
    <row r="63" spans="1:5" ht="13.5" thickBot="1">
      <c r="A63" s="703" t="s">
        <v>593</v>
      </c>
      <c r="B63" s="704" t="s">
        <v>594</v>
      </c>
      <c r="C63" s="723">
        <v>0</v>
      </c>
      <c r="D63" s="723">
        <f>C63*1.075</f>
        <v>0</v>
      </c>
      <c r="E63" s="723">
        <f>D63*1.075</f>
        <v>0</v>
      </c>
    </row>
    <row r="64" spans="1:5" ht="26.25" thickBot="1">
      <c r="A64" s="835" t="s">
        <v>595</v>
      </c>
      <c r="B64" s="701" t="s">
        <v>596</v>
      </c>
      <c r="C64" s="707">
        <f>SUM(C57:C63)</f>
        <v>833206</v>
      </c>
      <c r="D64" s="707">
        <f>SUM(D57:D63)+1</f>
        <v>895697.45</v>
      </c>
      <c r="E64" s="707">
        <f>SUM(E57:E63)</f>
        <v>962873.68375</v>
      </c>
    </row>
    <row r="65" spans="1:5" ht="13.5" thickBot="1">
      <c r="A65" s="834" t="s">
        <v>597</v>
      </c>
      <c r="B65" s="716" t="s">
        <v>598</v>
      </c>
      <c r="C65" s="707">
        <f>Kiadás!J32</f>
        <v>10000</v>
      </c>
      <c r="D65" s="707">
        <f>C65*1.075</f>
        <v>10750</v>
      </c>
      <c r="E65" s="707">
        <f>D65*1.075</f>
        <v>11556.25</v>
      </c>
    </row>
    <row r="66" spans="1:5" ht="26.25" thickBot="1">
      <c r="A66" s="705" t="s">
        <v>200</v>
      </c>
      <c r="B66" s="701" t="s">
        <v>599</v>
      </c>
      <c r="C66" s="737">
        <f>SUM(C65)</f>
        <v>10000</v>
      </c>
      <c r="D66" s="737">
        <f>SUM(D65)</f>
        <v>10750</v>
      </c>
      <c r="E66" s="737">
        <f>SUM(E65)</f>
        <v>11556.25</v>
      </c>
    </row>
    <row r="67" spans="1:5" ht="13.5" thickBot="1">
      <c r="A67" s="710" t="s">
        <v>600</v>
      </c>
      <c r="B67" s="701" t="s">
        <v>601</v>
      </c>
      <c r="C67" s="722">
        <f>SUM(C66,C64)</f>
        <v>843206</v>
      </c>
      <c r="D67" s="722">
        <f>SUM(D66,D64)</f>
        <v>906447.45</v>
      </c>
      <c r="E67" s="722">
        <f>SUM(E66,E64)-1</f>
        <v>974428.93375</v>
      </c>
    </row>
    <row r="68" spans="1:5" ht="12.75">
      <c r="A68" s="700" t="s">
        <v>602</v>
      </c>
      <c r="B68" s="701" t="s">
        <v>603</v>
      </c>
      <c r="C68" s="721">
        <v>13380</v>
      </c>
      <c r="D68" s="721">
        <f>C68*1.075</f>
        <v>14383.5</v>
      </c>
      <c r="E68" s="721">
        <f>D68*1.075</f>
        <v>15462.262499999999</v>
      </c>
    </row>
    <row r="69" spans="1:5" ht="13.5" thickBot="1">
      <c r="A69" s="700" t="s">
        <v>604</v>
      </c>
      <c r="B69" s="701" t="s">
        <v>605</v>
      </c>
      <c r="C69" s="723"/>
      <c r="D69" s="723"/>
      <c r="E69" s="723"/>
    </row>
    <row r="70" spans="1:5" ht="13.5" thickBot="1">
      <c r="A70" s="710" t="s">
        <v>206</v>
      </c>
      <c r="B70" s="701" t="s">
        <v>606</v>
      </c>
      <c r="C70" s="722">
        <f>C68+C69</f>
        <v>13380</v>
      </c>
      <c r="D70" s="722">
        <f>D68+D69</f>
        <v>14383.5</v>
      </c>
      <c r="E70" s="722">
        <f>E68+E69</f>
        <v>15462.262499999999</v>
      </c>
    </row>
    <row r="71" spans="1:5" ht="13.5" thickBot="1">
      <c r="A71" s="724" t="s">
        <v>607</v>
      </c>
      <c r="B71" s="735" t="s">
        <v>608</v>
      </c>
      <c r="C71" s="726">
        <f>SUM(C70,C67)</f>
        <v>856586</v>
      </c>
      <c r="D71" s="726">
        <f>C71*1.075</f>
        <v>920829.95</v>
      </c>
      <c r="E71" s="726">
        <f>D71*1.075</f>
        <v>989892.1962499999</v>
      </c>
    </row>
    <row r="72" ht="13.5" thickBot="1"/>
    <row r="73" spans="1:5" ht="14.25" thickBot="1" thickTop="1">
      <c r="A73" s="738" t="s">
        <v>609</v>
      </c>
      <c r="B73" s="176">
        <v>61</v>
      </c>
      <c r="C73" s="739">
        <f>SUM(C16,C50)</f>
        <v>1974445.541</v>
      </c>
      <c r="D73" s="739">
        <f>SUM(D16,D50)</f>
        <v>2111778.9565749997</v>
      </c>
      <c r="E73" s="739">
        <f>SUM(E16,E50)</f>
        <v>2270162.3783181245</v>
      </c>
    </row>
    <row r="74" spans="1:5" ht="26.25" thickBot="1">
      <c r="A74" s="705" t="s">
        <v>610</v>
      </c>
      <c r="B74" s="176">
        <v>62</v>
      </c>
      <c r="C74" s="740">
        <f>SUM(C18,C52)</f>
        <v>766653</v>
      </c>
      <c r="D74" s="740">
        <f aca="true" t="shared" si="3" ref="D74:E76">C74*1.075</f>
        <v>824151.975</v>
      </c>
      <c r="E74" s="740">
        <f t="shared" si="3"/>
        <v>885963.3731249999</v>
      </c>
    </row>
    <row r="75" spans="1:5" ht="13.5" thickBot="1">
      <c r="A75" s="705" t="s">
        <v>611</v>
      </c>
      <c r="B75" s="176">
        <v>63</v>
      </c>
      <c r="C75" s="740">
        <f>SUM(C22,C55)</f>
        <v>0</v>
      </c>
      <c r="D75" s="740">
        <f t="shared" si="3"/>
        <v>0</v>
      </c>
      <c r="E75" s="740">
        <f t="shared" si="3"/>
        <v>0</v>
      </c>
    </row>
    <row r="76" spans="1:5" ht="26.25" thickBot="1">
      <c r="A76" s="741" t="s">
        <v>612</v>
      </c>
      <c r="B76" s="742">
        <v>64</v>
      </c>
      <c r="C76" s="743">
        <f>SUM(C73:C75)</f>
        <v>2741098.541</v>
      </c>
      <c r="D76" s="743">
        <f t="shared" si="3"/>
        <v>2946680.9315750003</v>
      </c>
      <c r="E76" s="743">
        <f t="shared" si="3"/>
        <v>3167682.0014431253</v>
      </c>
    </row>
    <row r="77" spans="1:5" ht="13.5" thickBot="1">
      <c r="A77" s="710"/>
      <c r="B77" s="176"/>
      <c r="C77" s="740"/>
      <c r="D77" s="740"/>
      <c r="E77" s="740"/>
    </row>
    <row r="78" spans="1:5" ht="13.5" thickBot="1">
      <c r="A78" s="705" t="s">
        <v>613</v>
      </c>
      <c r="B78" s="176">
        <v>65</v>
      </c>
      <c r="C78" s="740">
        <f>SUM(C33,C64)</f>
        <v>2712719.337738</v>
      </c>
      <c r="D78" s="740">
        <f>SUM(D33,D64)</f>
        <v>2916174.2880683495</v>
      </c>
      <c r="E78" s="740">
        <f>SUM(E33,E64)</f>
        <v>3134886.284673476</v>
      </c>
    </row>
    <row r="79" spans="1:5" ht="26.25" thickBot="1">
      <c r="A79" s="705" t="s">
        <v>614</v>
      </c>
      <c r="B79" s="176">
        <v>66</v>
      </c>
      <c r="C79" s="740">
        <f>C35+C66</f>
        <v>15000</v>
      </c>
      <c r="D79" s="740">
        <f>D35+D66</f>
        <v>16125</v>
      </c>
      <c r="E79" s="740">
        <f>E35+E66</f>
        <v>17334.375</v>
      </c>
    </row>
    <row r="80" spans="1:5" ht="13.5" thickBot="1">
      <c r="A80" s="705" t="s">
        <v>615</v>
      </c>
      <c r="B80" s="176">
        <v>67</v>
      </c>
      <c r="C80" s="740">
        <f>SUM(C40,C70)</f>
        <v>13380</v>
      </c>
      <c r="D80" s="740">
        <f>SUM(D40,D70)</f>
        <v>14383.5</v>
      </c>
      <c r="E80" s="740">
        <f>SUM(E40,E70)</f>
        <v>15462.262499999999</v>
      </c>
    </row>
    <row r="81" spans="1:5" ht="26.25" thickBot="1">
      <c r="A81" s="741" t="s">
        <v>616</v>
      </c>
      <c r="B81" s="742">
        <v>68</v>
      </c>
      <c r="C81" s="743">
        <f>SUM(C78:C80)</f>
        <v>2741099.337738</v>
      </c>
      <c r="D81" s="743">
        <f>C81*1.075</f>
        <v>2946681.78806835</v>
      </c>
      <c r="E81" s="743">
        <f>D81*1.075-1</f>
        <v>3167681.922173476</v>
      </c>
    </row>
    <row r="84" spans="4:5" ht="12.75">
      <c r="D84" s="198"/>
      <c r="E84" s="198"/>
    </row>
    <row r="85" spans="4:5" ht="12.75">
      <c r="D85" s="198"/>
      <c r="E85" s="198"/>
    </row>
  </sheetData>
  <sheetProtection/>
  <mergeCells count="14">
    <mergeCell ref="A42:E42"/>
    <mergeCell ref="A8:E8"/>
    <mergeCell ref="B26:B27"/>
    <mergeCell ref="C26:C27"/>
    <mergeCell ref="D26:D27"/>
    <mergeCell ref="E26:E27"/>
    <mergeCell ref="D1:E1"/>
    <mergeCell ref="A2:E2"/>
    <mergeCell ref="A3:E3"/>
    <mergeCell ref="D5:E5"/>
    <mergeCell ref="B9:B10"/>
    <mergeCell ref="C9:C10"/>
    <mergeCell ref="D9:D10"/>
    <mergeCell ref="E9:E10"/>
  </mergeCells>
  <printOptions horizontalCentered="1"/>
  <pageMargins left="0.1968503937007874" right="0.1968503937007874" top="0.5905511811023623" bottom="0.5905511811023623" header="0.2755905511811024" footer="0.4330708661417323"/>
  <pageSetup horizontalDpi="300" verticalDpi="300" orientation="portrait" paperSize="9" scale="85" r:id="rId1"/>
  <headerFooter alignWithMargins="0">
    <oddHeader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H47" sqref="H47"/>
    </sheetView>
  </sheetViews>
  <sheetFormatPr defaultColWidth="9.00390625" defaultRowHeight="12.75"/>
  <cols>
    <col min="1" max="1" width="3.625" style="778" customWidth="1"/>
    <col min="5" max="5" width="20.625" style="0" customWidth="1"/>
    <col min="6" max="6" width="16.25390625" style="198" customWidth="1"/>
    <col min="7" max="7" width="17.00390625" style="0" customWidth="1"/>
    <col min="8" max="8" width="15.75390625" style="0" customWidth="1"/>
    <col min="9" max="9" width="13.75390625" style="0" bestFit="1" customWidth="1"/>
  </cols>
  <sheetData>
    <row r="1" spans="1:7" ht="12.75">
      <c r="A1" s="1074"/>
      <c r="B1" s="1074"/>
      <c r="C1" s="1074"/>
      <c r="D1" s="1074"/>
      <c r="E1" s="1074"/>
      <c r="F1" s="1074"/>
      <c r="G1" s="1074"/>
    </row>
    <row r="2" spans="1:7" ht="12.75">
      <c r="A2" s="1"/>
      <c r="B2" s="1"/>
      <c r="C2" s="1"/>
      <c r="D2" s="1"/>
      <c r="E2" s="1"/>
      <c r="F2" s="1"/>
      <c r="G2" s="1"/>
    </row>
    <row r="3" spans="1:9" ht="12.75">
      <c r="A3" s="1"/>
      <c r="B3" s="1"/>
      <c r="C3" s="1"/>
      <c r="D3" s="1"/>
      <c r="E3" s="1"/>
      <c r="F3" s="1"/>
      <c r="G3" s="1"/>
      <c r="I3" t="s">
        <v>617</v>
      </c>
    </row>
    <row r="4" spans="1:7" ht="12.75">
      <c r="A4" s="1"/>
      <c r="B4" s="1"/>
      <c r="C4" s="1"/>
      <c r="D4" s="1"/>
      <c r="E4" s="1"/>
      <c r="F4" s="1"/>
      <c r="G4" s="1"/>
    </row>
    <row r="5" spans="1:9" ht="15.75" customHeight="1">
      <c r="A5" s="988" t="s">
        <v>618</v>
      </c>
      <c r="B5" s="988"/>
      <c r="C5" s="988"/>
      <c r="D5" s="988"/>
      <c r="E5" s="988"/>
      <c r="F5" s="988"/>
      <c r="G5" s="988"/>
      <c r="H5" s="988"/>
      <c r="I5" s="988"/>
    </row>
    <row r="6" spans="1:7" ht="12.75">
      <c r="A6" s="1"/>
      <c r="B6" s="1"/>
      <c r="C6" s="1"/>
      <c r="D6" s="1"/>
      <c r="E6" s="1"/>
      <c r="F6" s="744"/>
      <c r="G6" s="1"/>
    </row>
    <row r="7" spans="1:9" ht="13.5" thickBot="1">
      <c r="A7" s="1"/>
      <c r="B7" s="1"/>
      <c r="C7" s="1"/>
      <c r="D7" s="1"/>
      <c r="E7" s="1"/>
      <c r="F7" s="744"/>
      <c r="G7" s="1"/>
      <c r="I7" s="745" t="s">
        <v>51</v>
      </c>
    </row>
    <row r="8" spans="1:9" ht="12.75" customHeight="1">
      <c r="A8" s="1075" t="s">
        <v>0</v>
      </c>
      <c r="B8" s="1076"/>
      <c r="C8" s="1076"/>
      <c r="D8" s="1076"/>
      <c r="E8" s="1077"/>
      <c r="F8" s="1081" t="s">
        <v>72</v>
      </c>
      <c r="G8" s="1081" t="s">
        <v>619</v>
      </c>
      <c r="H8" s="1039" t="s">
        <v>620</v>
      </c>
      <c r="I8" s="1083" t="s">
        <v>79</v>
      </c>
    </row>
    <row r="9" spans="1:9" ht="53.25" customHeight="1" thickBot="1">
      <c r="A9" s="1078"/>
      <c r="B9" s="1079"/>
      <c r="C9" s="1079"/>
      <c r="D9" s="1079"/>
      <c r="E9" s="1080"/>
      <c r="F9" s="1082"/>
      <c r="G9" s="1082"/>
      <c r="H9" s="1040"/>
      <c r="I9" s="1084"/>
    </row>
    <row r="10" spans="1:9" ht="13.5" thickBot="1">
      <c r="A10" s="1085">
        <v>1</v>
      </c>
      <c r="B10" s="1085"/>
      <c r="C10" s="1085"/>
      <c r="D10" s="1085"/>
      <c r="E10" s="1085"/>
      <c r="F10" s="746">
        <v>2</v>
      </c>
      <c r="G10" s="747">
        <v>3</v>
      </c>
      <c r="H10" s="748">
        <v>4</v>
      </c>
      <c r="I10" s="749"/>
    </row>
    <row r="11" spans="1:9" ht="12.75">
      <c r="A11" s="750"/>
      <c r="B11" s="1071" t="s">
        <v>621</v>
      </c>
      <c r="C11" s="1072"/>
      <c r="D11" s="1072"/>
      <c r="E11" s="1073"/>
      <c r="F11" s="530"/>
      <c r="G11" s="751">
        <v>12270</v>
      </c>
      <c r="H11" s="752"/>
      <c r="I11" s="753">
        <f>F11+G11+H11</f>
        <v>12270</v>
      </c>
    </row>
    <row r="12" spans="1:9" ht="12.75">
      <c r="A12" s="754"/>
      <c r="B12" s="1086" t="s">
        <v>622</v>
      </c>
      <c r="C12" s="1087"/>
      <c r="D12" s="1087"/>
      <c r="E12" s="1088"/>
      <c r="F12" s="534"/>
      <c r="G12" s="755"/>
      <c r="H12" s="752"/>
      <c r="I12" s="753">
        <f>F12+G12+H12</f>
        <v>0</v>
      </c>
    </row>
    <row r="13" spans="1:9" ht="13.5" thickBot="1">
      <c r="A13" s="756"/>
      <c r="B13" s="1089" t="s">
        <v>623</v>
      </c>
      <c r="C13" s="1090"/>
      <c r="D13" s="1090"/>
      <c r="E13" s="1091"/>
      <c r="F13" s="539"/>
      <c r="G13" s="757"/>
      <c r="H13" s="758"/>
      <c r="I13" s="753">
        <f>F13+G13+H13</f>
        <v>0</v>
      </c>
    </row>
    <row r="14" spans="1:9" ht="13.5" thickBot="1">
      <c r="A14" s="295" t="s">
        <v>624</v>
      </c>
      <c r="B14" s="1092" t="s">
        <v>625</v>
      </c>
      <c r="C14" s="1093"/>
      <c r="D14" s="1093"/>
      <c r="E14" s="1094"/>
      <c r="F14" s="294">
        <f>SUM(F11:F13)</f>
        <v>0</v>
      </c>
      <c r="G14" s="294">
        <f>SUM(G11:G13)</f>
        <v>12270</v>
      </c>
      <c r="H14" s="294">
        <f>SUM(H11:H13)</f>
        <v>0</v>
      </c>
      <c r="I14" s="284">
        <f>I11+I12+I13</f>
        <v>12270</v>
      </c>
    </row>
    <row r="15" spans="1:9" ht="12.75">
      <c r="A15" s="750"/>
      <c r="B15" s="1071" t="s">
        <v>626</v>
      </c>
      <c r="C15" s="1072"/>
      <c r="D15" s="1072"/>
      <c r="E15" s="1073"/>
      <c r="F15" s="530"/>
      <c r="G15" s="751">
        <v>0</v>
      </c>
      <c r="H15" s="752"/>
      <c r="I15" s="753">
        <f>F15+G15+H15</f>
        <v>0</v>
      </c>
    </row>
    <row r="16" spans="1:9" ht="12.75">
      <c r="A16" s="754"/>
      <c r="B16" s="1086" t="s">
        <v>627</v>
      </c>
      <c r="C16" s="1087"/>
      <c r="D16" s="1087"/>
      <c r="E16" s="1088"/>
      <c r="F16" s="534">
        <v>1200</v>
      </c>
      <c r="G16" s="759">
        <v>10</v>
      </c>
      <c r="H16" s="752">
        <v>2500</v>
      </c>
      <c r="I16" s="753"/>
    </row>
    <row r="17" spans="1:9" ht="12.75">
      <c r="A17" s="754"/>
      <c r="B17" s="1095" t="s">
        <v>628</v>
      </c>
      <c r="C17" s="1096"/>
      <c r="D17" s="1096"/>
      <c r="E17" s="1097"/>
      <c r="F17" s="534">
        <v>192</v>
      </c>
      <c r="G17" s="759"/>
      <c r="H17" s="752"/>
      <c r="I17" s="753"/>
    </row>
    <row r="18" spans="1:9" ht="12.75">
      <c r="A18" s="754"/>
      <c r="B18" s="1095" t="s">
        <v>629</v>
      </c>
      <c r="C18" s="1096"/>
      <c r="D18" s="1096"/>
      <c r="E18" s="1097"/>
      <c r="F18" s="534">
        <v>5413</v>
      </c>
      <c r="G18" s="759">
        <v>12966</v>
      </c>
      <c r="H18" s="752"/>
      <c r="I18" s="753"/>
    </row>
    <row r="19" spans="1:9" ht="12.75">
      <c r="A19" s="756"/>
      <c r="B19" s="1095" t="s">
        <v>630</v>
      </c>
      <c r="C19" s="1096"/>
      <c r="D19" s="1096"/>
      <c r="E19" s="1097"/>
      <c r="F19" s="534">
        <f>2700+1000+740</f>
        <v>4440</v>
      </c>
      <c r="G19" s="759">
        <v>730</v>
      </c>
      <c r="H19" s="752">
        <v>3235</v>
      </c>
      <c r="I19" s="753"/>
    </row>
    <row r="20" spans="1:9" ht="12.75">
      <c r="A20" s="756"/>
      <c r="B20" s="1095" t="s">
        <v>631</v>
      </c>
      <c r="C20" s="1096"/>
      <c r="D20" s="1096"/>
      <c r="E20" s="1097"/>
      <c r="F20" s="534">
        <v>4000</v>
      </c>
      <c r="G20" s="759"/>
      <c r="H20" s="752">
        <v>32270</v>
      </c>
      <c r="I20" s="753"/>
    </row>
    <row r="21" spans="1:9" ht="12.75">
      <c r="A21" s="756"/>
      <c r="B21" s="1095" t="s">
        <v>632</v>
      </c>
      <c r="C21" s="1096"/>
      <c r="D21" s="1096"/>
      <c r="E21" s="1097"/>
      <c r="F21" s="534"/>
      <c r="G21" s="759"/>
      <c r="H21" s="752"/>
      <c r="I21" s="753"/>
    </row>
    <row r="22" spans="1:9" ht="12.75">
      <c r="A22" s="756"/>
      <c r="B22" s="1095" t="s">
        <v>633</v>
      </c>
      <c r="C22" s="1096"/>
      <c r="D22" s="1096"/>
      <c r="E22" s="1097"/>
      <c r="F22" s="534"/>
      <c r="G22" s="759"/>
      <c r="H22" s="752"/>
      <c r="I22" s="753">
        <f>F22+G22+H22</f>
        <v>0</v>
      </c>
    </row>
    <row r="23" spans="1:9" ht="13.5" thickBot="1">
      <c r="A23" s="756"/>
      <c r="B23" s="1098" t="s">
        <v>634</v>
      </c>
      <c r="C23" s="1099"/>
      <c r="D23" s="1099"/>
      <c r="E23" s="1100"/>
      <c r="F23" s="539"/>
      <c r="G23" s="759"/>
      <c r="H23" s="758"/>
      <c r="I23" s="753">
        <f>F23+G23+H23</f>
        <v>0</v>
      </c>
    </row>
    <row r="24" spans="1:9" ht="13.5" thickBot="1">
      <c r="A24" s="295" t="s">
        <v>635</v>
      </c>
      <c r="B24" s="1092" t="s">
        <v>636</v>
      </c>
      <c r="C24" s="1093"/>
      <c r="D24" s="1093"/>
      <c r="E24" s="1094"/>
      <c r="F24" s="294">
        <f>SUM(F16:F23)</f>
        <v>15245</v>
      </c>
      <c r="G24" s="294">
        <f>SUM(G15:G23)</f>
        <v>13706</v>
      </c>
      <c r="H24" s="294">
        <f>SUM(H15:H23)</f>
        <v>38005</v>
      </c>
      <c r="I24" s="284">
        <f>F24+G24+H24</f>
        <v>66956</v>
      </c>
    </row>
    <row r="25" spans="1:9" ht="12.75">
      <c r="A25" s="750"/>
      <c r="B25" s="1071" t="s">
        <v>637</v>
      </c>
      <c r="C25" s="1072"/>
      <c r="D25" s="1072"/>
      <c r="E25" s="1073"/>
      <c r="F25" s="530">
        <v>0</v>
      </c>
      <c r="G25" s="751">
        <v>0</v>
      </c>
      <c r="H25" s="752"/>
      <c r="I25" s="753">
        <f>F25+G25+H25</f>
        <v>0</v>
      </c>
    </row>
    <row r="26" spans="1:9" ht="12.75">
      <c r="A26" s="754"/>
      <c r="B26" s="1086" t="s">
        <v>638</v>
      </c>
      <c r="C26" s="1087"/>
      <c r="D26" s="1087"/>
      <c r="E26" s="1088"/>
      <c r="F26" s="534">
        <v>0</v>
      </c>
      <c r="G26" s="755">
        <v>0</v>
      </c>
      <c r="H26" s="752"/>
      <c r="I26" s="753">
        <f>F26+G26+H26</f>
        <v>0</v>
      </c>
    </row>
    <row r="27" spans="1:9" ht="12.75">
      <c r="A27" s="754"/>
      <c r="B27" s="1086" t="s">
        <v>639</v>
      </c>
      <c r="C27" s="1087"/>
      <c r="D27" s="1087"/>
      <c r="E27" s="1088"/>
      <c r="F27" s="534">
        <v>3034</v>
      </c>
      <c r="G27" s="755">
        <v>3700</v>
      </c>
      <c r="H27" s="752">
        <v>9120</v>
      </c>
      <c r="I27" s="753">
        <f>SUM(F27:H27)</f>
        <v>15854</v>
      </c>
    </row>
    <row r="28" spans="1:9" ht="13.5" thickBot="1">
      <c r="A28" s="756"/>
      <c r="B28" s="1089" t="s">
        <v>640</v>
      </c>
      <c r="C28" s="1090"/>
      <c r="D28" s="1090"/>
      <c r="E28" s="1091"/>
      <c r="F28" s="539">
        <v>0</v>
      </c>
      <c r="G28" s="757">
        <v>0</v>
      </c>
      <c r="H28" s="758"/>
      <c r="I28" s="753">
        <f>F28+G28+H28</f>
        <v>0</v>
      </c>
    </row>
    <row r="29" spans="1:9" ht="13.5" thickBot="1">
      <c r="A29" s="295" t="s">
        <v>641</v>
      </c>
      <c r="B29" s="1092" t="s">
        <v>642</v>
      </c>
      <c r="C29" s="1093"/>
      <c r="D29" s="1093"/>
      <c r="E29" s="1094"/>
      <c r="F29" s="294">
        <f>SUM(F25:F28)</f>
        <v>3034</v>
      </c>
      <c r="G29" s="294">
        <f>SUM(G25:G28)</f>
        <v>3700</v>
      </c>
      <c r="H29" s="294">
        <f>SUM(H25:H28)</f>
        <v>9120</v>
      </c>
      <c r="I29" s="284">
        <f>F29+G29+H29</f>
        <v>15854</v>
      </c>
    </row>
    <row r="30" spans="1:9" ht="12.75">
      <c r="A30" s="750"/>
      <c r="B30" s="1071" t="s">
        <v>643</v>
      </c>
      <c r="C30" s="1072"/>
      <c r="D30" s="1072"/>
      <c r="E30" s="1073"/>
      <c r="F30" s="530"/>
      <c r="G30" s="751">
        <v>0</v>
      </c>
      <c r="H30" s="752">
        <v>0</v>
      </c>
      <c r="I30" s="753">
        <v>0</v>
      </c>
    </row>
    <row r="31" spans="1:9" ht="12.75">
      <c r="A31" s="754"/>
      <c r="B31" s="1086" t="s">
        <v>644</v>
      </c>
      <c r="C31" s="1087"/>
      <c r="D31" s="1087"/>
      <c r="E31" s="1088"/>
      <c r="F31" s="534">
        <v>0</v>
      </c>
      <c r="G31" s="755">
        <v>0</v>
      </c>
      <c r="H31" s="752"/>
      <c r="I31" s="753">
        <f>F31+G31+H31</f>
        <v>0</v>
      </c>
    </row>
    <row r="32" spans="1:9" ht="13.5" thickBot="1">
      <c r="A32" s="756"/>
      <c r="B32" s="1089" t="s">
        <v>645</v>
      </c>
      <c r="C32" s="1090"/>
      <c r="D32" s="1090"/>
      <c r="E32" s="1091"/>
      <c r="F32" s="539">
        <v>0</v>
      </c>
      <c r="G32" s="757">
        <v>0</v>
      </c>
      <c r="H32" s="758"/>
      <c r="I32" s="753"/>
    </row>
    <row r="33" spans="1:9" ht="13.5" thickBot="1">
      <c r="A33" s="295" t="s">
        <v>646</v>
      </c>
      <c r="B33" s="1104" t="s">
        <v>647</v>
      </c>
      <c r="C33" s="1104"/>
      <c r="D33" s="1104"/>
      <c r="E33" s="1104"/>
      <c r="F33" s="294">
        <f>SUM(F30:F32)</f>
        <v>0</v>
      </c>
      <c r="G33" s="294">
        <f>SUM(G30:G32)</f>
        <v>0</v>
      </c>
      <c r="H33" s="294">
        <f>SUM(H30:H32)</f>
        <v>0</v>
      </c>
      <c r="I33" s="284">
        <f>SUM(I30:I32)</f>
        <v>0</v>
      </c>
    </row>
    <row r="34" spans="1:9" ht="13.5" thickBot="1">
      <c r="A34" s="275" t="s">
        <v>6</v>
      </c>
      <c r="B34" s="1105" t="s">
        <v>648</v>
      </c>
      <c r="C34" s="1106"/>
      <c r="D34" s="1106"/>
      <c r="E34" s="1107"/>
      <c r="F34" s="294">
        <f>F14+F24+F29+F33</f>
        <v>18279</v>
      </c>
      <c r="G34" s="294">
        <f>G14+G24+G29+G33</f>
        <v>29676</v>
      </c>
      <c r="H34" s="294">
        <f>H14+H24+H29+H33</f>
        <v>47125</v>
      </c>
      <c r="I34" s="284">
        <f>F34+G34+H34</f>
        <v>95080</v>
      </c>
    </row>
    <row r="35" spans="1:9" ht="12.75">
      <c r="A35" s="750"/>
      <c r="B35" s="1108" t="s">
        <v>649</v>
      </c>
      <c r="C35" s="1108"/>
      <c r="D35" s="1108"/>
      <c r="E35" s="1108"/>
      <c r="F35" s="530"/>
      <c r="G35" s="760">
        <v>0</v>
      </c>
      <c r="H35" s="530">
        <f>'[2]16'!$E$4/1000</f>
        <v>49000.032</v>
      </c>
      <c r="I35" s="761">
        <f>F35+G35+H35</f>
        <v>49000.032</v>
      </c>
    </row>
    <row r="36" spans="1:9" ht="12.75">
      <c r="A36" s="762"/>
      <c r="B36" s="1109" t="s">
        <v>650</v>
      </c>
      <c r="C36" s="1110"/>
      <c r="D36" s="1110"/>
      <c r="E36" s="1111"/>
      <c r="F36" s="553"/>
      <c r="G36" s="763"/>
      <c r="H36" s="534">
        <f>'[2]16'!$E$7/1000</f>
        <v>26661.163</v>
      </c>
      <c r="I36" s="761">
        <f>F36+G36+H36</f>
        <v>26661.163</v>
      </c>
    </row>
    <row r="37" spans="1:9" ht="13.5" thickBot="1">
      <c r="A37" s="756"/>
      <c r="B37" s="1112" t="s">
        <v>651</v>
      </c>
      <c r="C37" s="1112"/>
      <c r="D37" s="1112"/>
      <c r="E37" s="1112"/>
      <c r="F37" s="539"/>
      <c r="G37" s="759"/>
      <c r="H37" s="553">
        <f>'[2]16'!$E$10/1000</f>
        <v>154078.231</v>
      </c>
      <c r="I37" s="763">
        <f>F37+G37+H37</f>
        <v>154078.231</v>
      </c>
    </row>
    <row r="38" spans="1:9" ht="13.5" thickBot="1">
      <c r="A38" s="554" t="s">
        <v>652</v>
      </c>
      <c r="B38" s="1113" t="s">
        <v>653</v>
      </c>
      <c r="C38" s="1093"/>
      <c r="D38" s="1093"/>
      <c r="E38" s="1094"/>
      <c r="F38" s="294">
        <f>SUM(F35:F37)</f>
        <v>0</v>
      </c>
      <c r="G38" s="764">
        <f>SUM(G35:G37)</f>
        <v>0</v>
      </c>
      <c r="H38" s="294">
        <f>SUM(H35:H37)</f>
        <v>229739.426</v>
      </c>
      <c r="I38" s="284">
        <f>SUM(I35:I37)</f>
        <v>229739.426</v>
      </c>
    </row>
    <row r="39" spans="1:9" ht="12.75">
      <c r="A39" s="765"/>
      <c r="B39" s="1101" t="s">
        <v>654</v>
      </c>
      <c r="C39" s="1102"/>
      <c r="D39" s="1102"/>
      <c r="E39" s="1103"/>
      <c r="F39" s="530"/>
      <c r="G39" s="751">
        <v>0</v>
      </c>
      <c r="H39" s="530">
        <v>0</v>
      </c>
      <c r="I39" s="761">
        <f>F39+G39+H39</f>
        <v>0</v>
      </c>
    </row>
    <row r="40" spans="1:9" ht="12.75">
      <c r="A40" s="766"/>
      <c r="B40" s="1114" t="s">
        <v>655</v>
      </c>
      <c r="C40" s="1115"/>
      <c r="D40" s="1115"/>
      <c r="E40" s="1116"/>
      <c r="F40" s="534"/>
      <c r="G40" s="755"/>
      <c r="H40" s="534">
        <v>92015</v>
      </c>
      <c r="I40" s="767">
        <f>F40+G40+H40</f>
        <v>92015</v>
      </c>
    </row>
    <row r="41" spans="1:9" ht="12.75">
      <c r="A41" s="768"/>
      <c r="B41" s="1114" t="s">
        <v>656</v>
      </c>
      <c r="C41" s="1115"/>
      <c r="D41" s="1115"/>
      <c r="E41" s="1116"/>
      <c r="F41" s="534"/>
      <c r="G41" s="755"/>
      <c r="H41" s="534">
        <v>433947</v>
      </c>
      <c r="I41" s="767">
        <f>F41+G41+H41</f>
        <v>433947</v>
      </c>
    </row>
    <row r="42" spans="1:9" ht="12.75">
      <c r="A42" s="768"/>
      <c r="B42" s="1114" t="s">
        <v>400</v>
      </c>
      <c r="C42" s="1115"/>
      <c r="D42" s="1115"/>
      <c r="E42" s="1116"/>
      <c r="F42" s="534"/>
      <c r="G42" s="755"/>
      <c r="H42" s="534">
        <f>'[2]16'!$E$16/1000</f>
        <v>102086.998</v>
      </c>
      <c r="I42" s="767">
        <f>F42+G42+H42</f>
        <v>102086.998</v>
      </c>
    </row>
    <row r="43" spans="1:9" ht="13.5" thickBot="1">
      <c r="A43" s="769"/>
      <c r="B43" s="1117" t="s">
        <v>657</v>
      </c>
      <c r="C43" s="1118"/>
      <c r="D43" s="1118"/>
      <c r="E43" s="1119"/>
      <c r="F43" s="539"/>
      <c r="G43" s="757"/>
      <c r="H43" s="539"/>
      <c r="I43" s="759">
        <f>F43+G43+H43</f>
        <v>0</v>
      </c>
    </row>
    <row r="44" spans="1:9" ht="13.5" thickBot="1">
      <c r="A44" s="554" t="s">
        <v>658</v>
      </c>
      <c r="B44" s="1113" t="s">
        <v>10</v>
      </c>
      <c r="C44" s="1093"/>
      <c r="D44" s="1093"/>
      <c r="E44" s="1094"/>
      <c r="F44" s="294">
        <f>F39+F40+F42+F41+F43</f>
        <v>0</v>
      </c>
      <c r="G44" s="764">
        <f>G39+G40+G42</f>
        <v>0</v>
      </c>
      <c r="H44" s="294">
        <f>SUM(H39:H43)</f>
        <v>628048.998</v>
      </c>
      <c r="I44" s="284">
        <f>SUM(I39:I43)</f>
        <v>628048.998</v>
      </c>
    </row>
    <row r="45" spans="1:9" ht="12.75">
      <c r="A45" s="770"/>
      <c r="B45" s="1101" t="s">
        <v>659</v>
      </c>
      <c r="C45" s="1102"/>
      <c r="D45" s="1102"/>
      <c r="E45" s="1103"/>
      <c r="F45" s="530"/>
      <c r="G45" s="751"/>
      <c r="H45" s="530">
        <f>'[2]16'!$E$13/1000</f>
        <v>18744.117</v>
      </c>
      <c r="I45" s="761">
        <f>F45+G45+H45</f>
        <v>18744.117</v>
      </c>
    </row>
    <row r="46" spans="1:9" ht="12.75">
      <c r="A46" s="766"/>
      <c r="B46" s="1114" t="s">
        <v>660</v>
      </c>
      <c r="C46" s="1115"/>
      <c r="D46" s="1115"/>
      <c r="E46" s="1116"/>
      <c r="F46" s="534"/>
      <c r="G46" s="755"/>
      <c r="H46" s="534">
        <f>'[2]16'!$E$21/1000</f>
        <v>6950</v>
      </c>
      <c r="I46" s="767">
        <f>F46+G46+H46</f>
        <v>6950</v>
      </c>
    </row>
    <row r="47" spans="1:9" ht="13.5" thickBot="1">
      <c r="A47" s="768"/>
      <c r="B47" s="1117" t="s">
        <v>401</v>
      </c>
      <c r="C47" s="1118"/>
      <c r="D47" s="1118"/>
      <c r="E47" s="1119"/>
      <c r="F47" s="539"/>
      <c r="G47" s="757"/>
      <c r="H47" s="539">
        <f>('[13]16'!$E$25+'[13]16'!$E$26)/1000</f>
        <v>15912</v>
      </c>
      <c r="I47" s="759">
        <f>F47+G47+H47</f>
        <v>15912</v>
      </c>
    </row>
    <row r="48" spans="1:9" ht="13.5" thickBot="1">
      <c r="A48" s="554" t="s">
        <v>661</v>
      </c>
      <c r="B48" s="1113" t="s">
        <v>662</v>
      </c>
      <c r="C48" s="1093"/>
      <c r="D48" s="1093"/>
      <c r="E48" s="1094"/>
      <c r="F48" s="294">
        <f>F45+F46+F47</f>
        <v>0</v>
      </c>
      <c r="G48" s="764">
        <f>G45+G46+G47</f>
        <v>0</v>
      </c>
      <c r="H48" s="294">
        <f>SUM(H45:H47)</f>
        <v>41606.117</v>
      </c>
      <c r="I48" s="284">
        <f>I45+I46+I47</f>
        <v>41606.117</v>
      </c>
    </row>
    <row r="49" spans="1:9" ht="13.5" thickBot="1">
      <c r="A49" s="771" t="s">
        <v>7</v>
      </c>
      <c r="B49" s="1120" t="s">
        <v>663</v>
      </c>
      <c r="C49" s="1121"/>
      <c r="D49" s="1121"/>
      <c r="E49" s="1122"/>
      <c r="F49" s="772">
        <f>SUM(F38,F44,F48)</f>
        <v>0</v>
      </c>
      <c r="G49" s="773">
        <f>SUM(G38,G44,G48)</f>
        <v>0</v>
      </c>
      <c r="H49" s="772">
        <f>SUM(H38,H44,H48)</f>
        <v>899394.541</v>
      </c>
      <c r="I49" s="774">
        <f>I38+I44+I48</f>
        <v>899394.541</v>
      </c>
    </row>
    <row r="50" spans="1:9" ht="12.75">
      <c r="A50" s="671"/>
      <c r="B50" s="775"/>
      <c r="C50" s="775"/>
      <c r="D50" s="775"/>
      <c r="E50" s="775"/>
      <c r="F50" s="776"/>
      <c r="G50" s="776"/>
      <c r="H50" s="776"/>
      <c r="I50" s="776"/>
    </row>
    <row r="51" spans="1:7" ht="12.75">
      <c r="A51" s="671"/>
      <c r="B51" s="775"/>
      <c r="C51" s="775"/>
      <c r="D51" s="775"/>
      <c r="E51" s="775"/>
      <c r="F51" s="777"/>
      <c r="G51" s="447"/>
    </row>
    <row r="52" spans="1:7" ht="12.75">
      <c r="A52" s="671"/>
      <c r="B52" s="775"/>
      <c r="C52" s="775"/>
      <c r="D52" s="775"/>
      <c r="E52" s="775"/>
      <c r="F52" s="777"/>
      <c r="G52" s="447"/>
    </row>
    <row r="53" spans="1:7" ht="12.75">
      <c r="A53" s="671"/>
      <c r="B53" s="775"/>
      <c r="C53" s="775"/>
      <c r="D53" s="775"/>
      <c r="E53" s="775"/>
      <c r="F53" s="777"/>
      <c r="G53" s="447"/>
    </row>
    <row r="54" spans="1:7" ht="12.75">
      <c r="A54" s="671"/>
      <c r="B54" s="775"/>
      <c r="C54" s="775"/>
      <c r="D54" s="775"/>
      <c r="E54" s="775"/>
      <c r="F54" s="777"/>
      <c r="G54" s="447"/>
    </row>
    <row r="55" spans="1:7" ht="12.75">
      <c r="A55" s="671"/>
      <c r="B55" s="775"/>
      <c r="C55" s="775"/>
      <c r="D55" s="775"/>
      <c r="E55" s="775"/>
      <c r="F55" s="777"/>
      <c r="G55" s="447"/>
    </row>
    <row r="56" spans="1:7" ht="12.75">
      <c r="A56" s="671"/>
      <c r="B56" s="775"/>
      <c r="C56" s="775"/>
      <c r="D56" s="775"/>
      <c r="E56" s="775"/>
      <c r="F56" s="777"/>
      <c r="G56" s="447"/>
    </row>
  </sheetData>
  <sheetProtection/>
  <mergeCells count="47">
    <mergeCell ref="B47:E47"/>
    <mergeCell ref="B48:E48"/>
    <mergeCell ref="B49:E49"/>
    <mergeCell ref="B40:E40"/>
    <mergeCell ref="B41:E41"/>
    <mergeCell ref="B42:E42"/>
    <mergeCell ref="B43:E43"/>
    <mergeCell ref="B44:E44"/>
    <mergeCell ref="B45:E45"/>
    <mergeCell ref="B36:E36"/>
    <mergeCell ref="B37:E37"/>
    <mergeCell ref="B38:E38"/>
    <mergeCell ref="B46:E46"/>
    <mergeCell ref="B26:E26"/>
    <mergeCell ref="B39:E39"/>
    <mergeCell ref="B28:E28"/>
    <mergeCell ref="B29:E29"/>
    <mergeCell ref="B30:E30"/>
    <mergeCell ref="B31:E31"/>
    <mergeCell ref="B32:E32"/>
    <mergeCell ref="B33:E33"/>
    <mergeCell ref="B34:E34"/>
    <mergeCell ref="B35:E35"/>
    <mergeCell ref="B22:E22"/>
    <mergeCell ref="B23:E23"/>
    <mergeCell ref="B24:E24"/>
    <mergeCell ref="B25:E25"/>
    <mergeCell ref="B12:E12"/>
    <mergeCell ref="B13:E13"/>
    <mergeCell ref="B14:E14"/>
    <mergeCell ref="B27:E27"/>
    <mergeCell ref="B16:E16"/>
    <mergeCell ref="B17:E17"/>
    <mergeCell ref="B18:E18"/>
    <mergeCell ref="B19:E19"/>
    <mergeCell ref="B20:E20"/>
    <mergeCell ref="B21:E21"/>
    <mergeCell ref="B15:E15"/>
    <mergeCell ref="A1:G1"/>
    <mergeCell ref="A5:I5"/>
    <mergeCell ref="A8:E9"/>
    <mergeCell ref="F8:F9"/>
    <mergeCell ref="G8:G9"/>
    <mergeCell ref="H8:H9"/>
    <mergeCell ref="I8:I9"/>
    <mergeCell ref="A10:E10"/>
    <mergeCell ref="B11:E1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55">
      <selection activeCell="D13" sqref="D13:D21"/>
    </sheetView>
  </sheetViews>
  <sheetFormatPr defaultColWidth="9.00390625" defaultRowHeight="12.75"/>
  <cols>
    <col min="1" max="1" width="8.125" style="787" customWidth="1"/>
    <col min="2" max="2" width="85.00390625" style="787" customWidth="1"/>
    <col min="3" max="3" width="12.375" style="787" customWidth="1"/>
    <col min="4" max="4" width="45.625" style="787" bestFit="1" customWidth="1"/>
    <col min="5" max="16384" width="9.125" style="787" customWidth="1"/>
  </cols>
  <sheetData>
    <row r="1" spans="1:4" ht="15">
      <c r="A1" s="1123" t="s">
        <v>684</v>
      </c>
      <c r="B1" s="1123"/>
      <c r="C1" s="1123"/>
      <c r="D1" s="1123"/>
    </row>
    <row r="2" spans="1:3" ht="15">
      <c r="A2" s="788"/>
      <c r="B2" s="788"/>
      <c r="C2" s="788"/>
    </row>
    <row r="3" ht="15.75" thickBot="1">
      <c r="D3" s="789" t="s">
        <v>685</v>
      </c>
    </row>
    <row r="4" spans="1:4" ht="15">
      <c r="A4" s="790" t="s">
        <v>686</v>
      </c>
      <c r="B4" s="791" t="s">
        <v>687</v>
      </c>
      <c r="C4" s="791" t="s">
        <v>688</v>
      </c>
      <c r="D4" s="792"/>
    </row>
    <row r="5" spans="1:4" ht="15">
      <c r="A5" s="793" t="s">
        <v>6</v>
      </c>
      <c r="B5" s="794" t="s">
        <v>689</v>
      </c>
      <c r="C5" s="795">
        <f>51+15</f>
        <v>66</v>
      </c>
      <c r="D5" s="796" t="s">
        <v>690</v>
      </c>
    </row>
    <row r="6" spans="1:4" ht="15">
      <c r="A6" s="793" t="s">
        <v>7</v>
      </c>
      <c r="B6" s="794" t="s">
        <v>691</v>
      </c>
      <c r="C6" s="795">
        <v>7</v>
      </c>
      <c r="D6" s="796"/>
    </row>
    <row r="7" spans="1:4" ht="15">
      <c r="A7" s="793" t="s">
        <v>8</v>
      </c>
      <c r="B7" s="794" t="s">
        <v>692</v>
      </c>
      <c r="C7" s="795">
        <v>2</v>
      </c>
      <c r="D7" s="796"/>
    </row>
    <row r="8" spans="1:4" ht="15">
      <c r="A8" s="793" t="s">
        <v>123</v>
      </c>
      <c r="B8" s="794" t="s">
        <v>693</v>
      </c>
      <c r="C8" s="795">
        <v>6</v>
      </c>
      <c r="D8" s="796"/>
    </row>
    <row r="9" spans="1:4" ht="15">
      <c r="A9" s="793" t="s">
        <v>17</v>
      </c>
      <c r="B9" s="794" t="s">
        <v>694</v>
      </c>
      <c r="C9" s="795">
        <v>1</v>
      </c>
      <c r="D9" s="796"/>
    </row>
    <row r="10" spans="1:4" ht="15.75" customHeight="1">
      <c r="A10" s="793" t="s">
        <v>31</v>
      </c>
      <c r="B10" s="794" t="s">
        <v>695</v>
      </c>
      <c r="C10" s="795">
        <v>7</v>
      </c>
      <c r="D10" s="796"/>
    </row>
    <row r="11" spans="1:4" ht="15" customHeight="1">
      <c r="A11" s="793" t="s">
        <v>696</v>
      </c>
      <c r="B11" s="794" t="s">
        <v>697</v>
      </c>
      <c r="C11" s="795">
        <v>1</v>
      </c>
      <c r="D11" s="796"/>
    </row>
    <row r="12" spans="1:4" ht="15" customHeight="1">
      <c r="A12" s="793" t="s">
        <v>33</v>
      </c>
      <c r="B12" s="794" t="s">
        <v>698</v>
      </c>
      <c r="C12" s="795">
        <v>12</v>
      </c>
      <c r="D12" s="796"/>
    </row>
    <row r="13" spans="1:4" ht="16.5" customHeight="1">
      <c r="A13" s="793" t="s">
        <v>34</v>
      </c>
      <c r="B13" s="794" t="s">
        <v>699</v>
      </c>
      <c r="C13" s="795">
        <v>12</v>
      </c>
      <c r="D13" s="796"/>
    </row>
    <row r="14" spans="1:4" ht="30.75" customHeight="1">
      <c r="A14" s="793" t="s">
        <v>36</v>
      </c>
      <c r="B14" s="797" t="s">
        <v>700</v>
      </c>
      <c r="C14" s="795">
        <v>42</v>
      </c>
      <c r="D14" s="796"/>
    </row>
    <row r="15" spans="1:4" ht="31.5" customHeight="1">
      <c r="A15" s="793" t="s">
        <v>37</v>
      </c>
      <c r="B15" s="797" t="s">
        <v>701</v>
      </c>
      <c r="C15" s="795">
        <v>21</v>
      </c>
      <c r="D15" s="796"/>
    </row>
    <row r="16" spans="1:4" ht="19.5" customHeight="1">
      <c r="A16" s="793" t="s">
        <v>37</v>
      </c>
      <c r="B16" s="794" t="s">
        <v>702</v>
      </c>
      <c r="C16" s="795">
        <v>4</v>
      </c>
      <c r="D16" s="796"/>
    </row>
    <row r="17" spans="1:4" ht="18" customHeight="1">
      <c r="A17" s="793" t="s">
        <v>38</v>
      </c>
      <c r="B17" s="797" t="s">
        <v>703</v>
      </c>
      <c r="C17" s="795">
        <v>37</v>
      </c>
      <c r="D17" s="796"/>
    </row>
    <row r="18" spans="1:4" ht="17.25" customHeight="1">
      <c r="A18" s="793"/>
      <c r="B18" s="797" t="s">
        <v>704</v>
      </c>
      <c r="C18" s="795">
        <v>24</v>
      </c>
      <c r="D18" s="796"/>
    </row>
    <row r="19" spans="1:4" ht="16.5" customHeight="1">
      <c r="A19" s="793" t="s">
        <v>39</v>
      </c>
      <c r="B19" s="794" t="s">
        <v>705</v>
      </c>
      <c r="C19" s="795">
        <v>6</v>
      </c>
      <c r="D19" s="796"/>
    </row>
    <row r="20" spans="1:4" ht="27.75" customHeight="1">
      <c r="A20" s="793" t="s">
        <v>69</v>
      </c>
      <c r="B20" s="797" t="s">
        <v>706</v>
      </c>
      <c r="C20" s="795">
        <v>1.5</v>
      </c>
      <c r="D20" s="796"/>
    </row>
    <row r="21" spans="1:4" ht="27.75" customHeight="1">
      <c r="A21" s="793" t="s">
        <v>134</v>
      </c>
      <c r="B21" s="797" t="s">
        <v>707</v>
      </c>
      <c r="C21" s="795">
        <v>4</v>
      </c>
      <c r="D21" s="796"/>
    </row>
    <row r="22" spans="1:4" ht="30">
      <c r="A22" s="793" t="s">
        <v>136</v>
      </c>
      <c r="B22" s="797" t="s">
        <v>708</v>
      </c>
      <c r="C22" s="795">
        <v>6.5</v>
      </c>
      <c r="D22" s="796" t="s">
        <v>709</v>
      </c>
    </row>
    <row r="23" spans="1:4" ht="30">
      <c r="A23" s="793"/>
      <c r="B23" s="797" t="s">
        <v>710</v>
      </c>
      <c r="C23" s="795">
        <v>3</v>
      </c>
      <c r="D23" s="796"/>
    </row>
    <row r="24" spans="1:4" ht="30">
      <c r="A24" s="793" t="s">
        <v>138</v>
      </c>
      <c r="B24" s="797" t="s">
        <v>711</v>
      </c>
      <c r="C24" s="795">
        <v>4</v>
      </c>
      <c r="D24" s="796"/>
    </row>
    <row r="25" spans="1:4" ht="18" customHeight="1">
      <c r="A25" s="793" t="s">
        <v>140</v>
      </c>
      <c r="B25" s="797" t="s">
        <v>712</v>
      </c>
      <c r="C25" s="795">
        <v>7</v>
      </c>
      <c r="D25" s="796"/>
    </row>
    <row r="26" spans="1:4" ht="33.75" customHeight="1">
      <c r="A26" s="793" t="s">
        <v>142</v>
      </c>
      <c r="B26" s="797" t="s">
        <v>713</v>
      </c>
      <c r="C26" s="795">
        <v>21</v>
      </c>
      <c r="D26" s="798" t="s">
        <v>714</v>
      </c>
    </row>
    <row r="27" spans="1:4" ht="15">
      <c r="A27" s="793" t="s">
        <v>144</v>
      </c>
      <c r="B27" s="794" t="s">
        <v>715</v>
      </c>
      <c r="C27" s="795">
        <v>25</v>
      </c>
      <c r="D27" s="796"/>
    </row>
    <row r="28" spans="1:4" ht="15">
      <c r="A28" s="793" t="s">
        <v>146</v>
      </c>
      <c r="B28" s="794" t="s">
        <v>716</v>
      </c>
      <c r="C28" s="795">
        <v>6</v>
      </c>
      <c r="D28" s="796"/>
    </row>
    <row r="29" spans="1:4" ht="15">
      <c r="A29" s="793" t="s">
        <v>148</v>
      </c>
      <c r="B29" s="794" t="s">
        <v>717</v>
      </c>
      <c r="C29" s="799">
        <v>26.5</v>
      </c>
      <c r="D29" s="796"/>
    </row>
    <row r="30" spans="1:4" ht="15">
      <c r="A30" s="793" t="s">
        <v>150</v>
      </c>
      <c r="B30" s="833" t="s">
        <v>732</v>
      </c>
      <c r="C30" s="799">
        <v>38.5</v>
      </c>
      <c r="D30" s="796" t="s">
        <v>733</v>
      </c>
    </row>
    <row r="31" spans="1:4" ht="15">
      <c r="A31" s="793" t="s">
        <v>152</v>
      </c>
      <c r="B31" s="794" t="s">
        <v>718</v>
      </c>
      <c r="C31" s="795">
        <v>4</v>
      </c>
      <c r="D31" s="796"/>
    </row>
    <row r="32" spans="1:4" ht="15">
      <c r="A32" s="793" t="s">
        <v>154</v>
      </c>
      <c r="B32" s="794" t="s">
        <v>719</v>
      </c>
      <c r="C32" s="795">
        <v>4</v>
      </c>
      <c r="D32" s="796"/>
    </row>
    <row r="33" spans="1:4" ht="15">
      <c r="A33" s="793" t="s">
        <v>156</v>
      </c>
      <c r="B33" s="794" t="s">
        <v>720</v>
      </c>
      <c r="C33" s="795">
        <v>1</v>
      </c>
      <c r="D33" s="796"/>
    </row>
    <row r="34" spans="1:4" ht="15">
      <c r="A34" s="793" t="s">
        <v>160</v>
      </c>
      <c r="B34" s="800" t="s">
        <v>721</v>
      </c>
      <c r="C34" s="801">
        <v>1</v>
      </c>
      <c r="D34" s="802"/>
    </row>
    <row r="35" spans="1:4" ht="15">
      <c r="A35" s="793" t="s">
        <v>162</v>
      </c>
      <c r="B35" s="794" t="s">
        <v>722</v>
      </c>
      <c r="C35" s="795">
        <v>5</v>
      </c>
      <c r="D35" s="803"/>
    </row>
    <row r="36" spans="1:4" ht="15.75" thickBot="1">
      <c r="A36" s="804" t="s">
        <v>164</v>
      </c>
      <c r="B36" s="844" t="s">
        <v>741</v>
      </c>
      <c r="C36" s="805">
        <v>30</v>
      </c>
      <c r="D36" s="806"/>
    </row>
    <row r="37" spans="1:4" ht="15.75" thickBot="1">
      <c r="A37" s="807"/>
      <c r="B37" s="808" t="s">
        <v>378</v>
      </c>
      <c r="C37" s="809">
        <f>SUM(C5:C36)</f>
        <v>436</v>
      </c>
      <c r="D37" s="810"/>
    </row>
    <row r="38" spans="1:4" ht="15">
      <c r="A38" s="811"/>
      <c r="B38" s="812"/>
      <c r="C38" s="812"/>
      <c r="D38" s="812"/>
    </row>
    <row r="39" spans="1:3" ht="15">
      <c r="A39" s="811"/>
      <c r="B39" s="812"/>
      <c r="C39" s="812"/>
    </row>
    <row r="40" spans="1:3" ht="15">
      <c r="A40" s="811"/>
      <c r="B40" s="812"/>
      <c r="C40" s="812"/>
    </row>
    <row r="41" spans="1:3" ht="15">
      <c r="A41" s="811"/>
      <c r="B41" s="812"/>
      <c r="C41" s="812"/>
    </row>
    <row r="42" spans="1:3" ht="15">
      <c r="A42" s="811"/>
      <c r="B42" s="812"/>
      <c r="C42" s="812"/>
    </row>
    <row r="43" spans="1:3" ht="15">
      <c r="A43" s="811"/>
      <c r="B43" s="812"/>
      <c r="C43" s="812"/>
    </row>
    <row r="44" spans="1:3" ht="15">
      <c r="A44" s="811"/>
      <c r="B44" s="812"/>
      <c r="C44" s="812"/>
    </row>
    <row r="45" spans="1:3" ht="15">
      <c r="A45" s="811"/>
      <c r="B45" s="812"/>
      <c r="C45" s="812"/>
    </row>
    <row r="46" spans="1:3" ht="15">
      <c r="A46" s="811"/>
      <c r="B46" s="812"/>
      <c r="C46" s="812"/>
    </row>
    <row r="47" spans="1:3" ht="15">
      <c r="A47" s="811"/>
      <c r="B47" s="812"/>
      <c r="C47" s="812"/>
    </row>
    <row r="48" spans="1:3" ht="15">
      <c r="A48" s="811"/>
      <c r="B48" s="812"/>
      <c r="C48" s="812"/>
    </row>
    <row r="49" spans="1:3" ht="15">
      <c r="A49" s="811"/>
      <c r="B49" s="812"/>
      <c r="C49" s="812"/>
    </row>
    <row r="50" spans="1:3" ht="15">
      <c r="A50" s="811"/>
      <c r="B50" s="812"/>
      <c r="C50" s="812"/>
    </row>
    <row r="51" spans="1:3" ht="15">
      <c r="A51" s="811"/>
      <c r="B51" s="812"/>
      <c r="C51" s="812"/>
    </row>
    <row r="52" spans="1:3" ht="15">
      <c r="A52" s="811"/>
      <c r="B52" s="812"/>
      <c r="C52" s="812"/>
    </row>
    <row r="53" spans="1:3" ht="15">
      <c r="A53" s="811"/>
      <c r="B53" s="812"/>
      <c r="C53" s="812"/>
    </row>
    <row r="54" spans="1:3" ht="15">
      <c r="A54" s="811"/>
      <c r="B54" s="812"/>
      <c r="C54" s="812"/>
    </row>
    <row r="55" spans="1:3" ht="15">
      <c r="A55" s="811"/>
      <c r="B55" s="812"/>
      <c r="C55" s="812"/>
    </row>
    <row r="56" spans="1:3" ht="15">
      <c r="A56" s="811"/>
      <c r="B56" s="812"/>
      <c r="C56" s="812"/>
    </row>
    <row r="57" spans="1:3" ht="15">
      <c r="A57" s="811"/>
      <c r="B57" s="812"/>
      <c r="C57" s="812"/>
    </row>
    <row r="58" spans="1:3" ht="15">
      <c r="A58" s="811"/>
      <c r="B58" s="812"/>
      <c r="C58" s="812"/>
    </row>
    <row r="59" spans="1:3" ht="15">
      <c r="A59" s="811"/>
      <c r="B59" s="812"/>
      <c r="C59" s="812"/>
    </row>
    <row r="60" spans="1:3" ht="15">
      <c r="A60" s="811"/>
      <c r="B60" s="812"/>
      <c r="C60" s="812"/>
    </row>
    <row r="61" spans="1:3" ht="15">
      <c r="A61" s="811"/>
      <c r="B61" s="812"/>
      <c r="C61" s="812"/>
    </row>
    <row r="62" spans="1:3" ht="15">
      <c r="A62" s="811"/>
      <c r="B62" s="812"/>
      <c r="C62" s="812"/>
    </row>
    <row r="63" spans="1:3" ht="15">
      <c r="A63" s="811"/>
      <c r="B63" s="812"/>
      <c r="C63" s="812"/>
    </row>
    <row r="64" spans="1:3" ht="15">
      <c r="A64" s="811"/>
      <c r="B64" s="812"/>
      <c r="C64" s="812"/>
    </row>
    <row r="65" spans="1:3" ht="15">
      <c r="A65" s="811"/>
      <c r="B65" s="812"/>
      <c r="C65" s="812"/>
    </row>
    <row r="66" spans="1:3" ht="15">
      <c r="A66" s="811"/>
      <c r="B66" s="812"/>
      <c r="C66" s="812"/>
    </row>
    <row r="67" spans="1:3" ht="15">
      <c r="A67" s="811"/>
      <c r="B67" s="812"/>
      <c r="C67" s="812"/>
    </row>
    <row r="68" spans="1:3" ht="15">
      <c r="A68" s="811"/>
      <c r="B68" s="812"/>
      <c r="C68" s="812"/>
    </row>
    <row r="69" spans="1:3" ht="15">
      <c r="A69" s="811"/>
      <c r="B69" s="812"/>
      <c r="C69" s="812"/>
    </row>
    <row r="70" spans="1:3" ht="15">
      <c r="A70" s="811"/>
      <c r="B70" s="812"/>
      <c r="C70" s="812"/>
    </row>
    <row r="71" spans="1:3" ht="15">
      <c r="A71" s="811"/>
      <c r="B71" s="812"/>
      <c r="C71" s="812"/>
    </row>
    <row r="72" spans="1:3" ht="15">
      <c r="A72" s="811"/>
      <c r="B72" s="812"/>
      <c r="C72" s="812"/>
    </row>
    <row r="73" spans="1:3" ht="15">
      <c r="A73" s="811"/>
      <c r="B73" s="812"/>
      <c r="C73" s="812"/>
    </row>
    <row r="74" spans="1:3" ht="15">
      <c r="A74" s="811"/>
      <c r="B74" s="812"/>
      <c r="C74" s="812"/>
    </row>
    <row r="75" ht="15">
      <c r="A75" s="811"/>
    </row>
    <row r="76" ht="15">
      <c r="A76" s="811"/>
    </row>
    <row r="77" ht="15">
      <c r="A77" s="811"/>
    </row>
  </sheetData>
  <sheetProtection/>
  <mergeCells count="1">
    <mergeCell ref="A1:D1"/>
  </mergeCells>
  <printOptions horizontalCentered="1"/>
  <pageMargins left="0.1968503937007874" right="0.1968503937007874" top="0.28" bottom="0.19" header="0.17" footer="0.1574803149606299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9.125" style="228" customWidth="1"/>
    <col min="2" max="2" width="68.875" style="228" customWidth="1"/>
    <col min="3" max="3" width="14.125" style="228" customWidth="1"/>
    <col min="4" max="16384" width="9.125" style="228" customWidth="1"/>
  </cols>
  <sheetData>
    <row r="1" spans="1:2" ht="15.75">
      <c r="A1" s="1124" t="s">
        <v>723</v>
      </c>
      <c r="B1" s="1124"/>
    </row>
    <row r="2" spans="1:2" ht="15.75">
      <c r="A2" s="1124" t="s">
        <v>724</v>
      </c>
      <c r="B2" s="1124"/>
    </row>
    <row r="3" spans="1:2" ht="15.75">
      <c r="A3" s="813"/>
      <c r="B3" s="813"/>
    </row>
    <row r="5" ht="13.5" thickBot="1">
      <c r="B5" s="814"/>
    </row>
    <row r="6" spans="1:4" ht="16.5" thickBot="1">
      <c r="A6" s="815" t="s">
        <v>686</v>
      </c>
      <c r="B6" s="816" t="s">
        <v>0</v>
      </c>
      <c r="C6" s="817" t="s">
        <v>725</v>
      </c>
      <c r="D6" s="818"/>
    </row>
    <row r="7" spans="1:3" ht="15">
      <c r="A7" s="819" t="s">
        <v>6</v>
      </c>
      <c r="B7" s="820" t="s">
        <v>726</v>
      </c>
      <c r="C7" s="821">
        <v>30750</v>
      </c>
    </row>
    <row r="8" spans="1:3" ht="15">
      <c r="A8" s="819" t="s">
        <v>7</v>
      </c>
      <c r="B8" s="822" t="s">
        <v>727</v>
      </c>
      <c r="C8" s="823">
        <v>36988</v>
      </c>
    </row>
    <row r="9" spans="1:3" ht="15">
      <c r="A9" s="819" t="s">
        <v>8</v>
      </c>
      <c r="B9" s="822" t="s">
        <v>728</v>
      </c>
      <c r="C9" s="823">
        <v>524427</v>
      </c>
    </row>
    <row r="10" spans="1:3" ht="15">
      <c r="A10" s="824" t="s">
        <v>40</v>
      </c>
      <c r="B10" s="825" t="s">
        <v>729</v>
      </c>
      <c r="C10" s="826">
        <f>19400-16490</f>
        <v>2910</v>
      </c>
    </row>
    <row r="11" spans="1:3" ht="15.75" thickBot="1">
      <c r="A11" s="827">
        <v>5</v>
      </c>
      <c r="B11" s="828" t="s">
        <v>730</v>
      </c>
      <c r="C11" s="829">
        <v>6755</v>
      </c>
    </row>
    <row r="12" spans="1:3" ht="15.75" thickBot="1">
      <c r="A12" s="830" t="s">
        <v>731</v>
      </c>
      <c r="B12" s="831"/>
      <c r="C12" s="832">
        <f>SUM(C7:C11)</f>
        <v>601830</v>
      </c>
    </row>
  </sheetData>
  <sheetProtection/>
  <mergeCells count="2"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&amp;R17.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6">
      <selection activeCell="N7" sqref="N7:N9"/>
    </sheetView>
  </sheetViews>
  <sheetFormatPr defaultColWidth="9.00390625" defaultRowHeight="12.75"/>
  <cols>
    <col min="1" max="1" width="2.00390625" style="104" customWidth="1"/>
    <col min="2" max="2" width="3.375" style="166" customWidth="1"/>
    <col min="3" max="3" width="32.75390625" style="104" customWidth="1"/>
    <col min="4" max="4" width="12.00390625" style="104" customWidth="1"/>
    <col min="5" max="5" width="7.875" style="104" bestFit="1" customWidth="1"/>
    <col min="6" max="6" width="12.625" style="104" customWidth="1"/>
    <col min="7" max="7" width="7.875" style="104" bestFit="1" customWidth="1"/>
    <col min="8" max="8" width="9.375" style="104" customWidth="1"/>
    <col min="9" max="9" width="7.375" style="104" customWidth="1"/>
    <col min="10" max="10" width="12.25390625" style="104" bestFit="1" customWidth="1"/>
    <col min="11" max="11" width="7.00390625" style="104" customWidth="1"/>
    <col min="12" max="12" width="9.125" style="104" customWidth="1"/>
    <col min="13" max="13" width="9.75390625" style="104" bestFit="1" customWidth="1"/>
    <col min="14" max="16384" width="9.125" style="104" customWidth="1"/>
  </cols>
  <sheetData>
    <row r="1" spans="2:11" ht="13.5" customHeight="1">
      <c r="B1" s="105"/>
      <c r="C1" s="106"/>
      <c r="D1" s="106"/>
      <c r="E1" s="106"/>
      <c r="F1" s="106"/>
      <c r="G1" s="106"/>
      <c r="J1" s="914" t="s">
        <v>75</v>
      </c>
      <c r="K1" s="914"/>
    </row>
    <row r="2" spans="2:7" ht="15">
      <c r="B2" s="107"/>
      <c r="C2" s="108"/>
      <c r="D2" s="108"/>
      <c r="E2" s="108"/>
      <c r="F2" s="108"/>
      <c r="G2" s="108"/>
    </row>
    <row r="3" spans="1:11" ht="21" customHeight="1">
      <c r="A3" s="915" t="s">
        <v>76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</row>
    <row r="4" spans="2:7" ht="15.75">
      <c r="B4" s="103"/>
      <c r="C4" s="103"/>
      <c r="D4" s="103"/>
      <c r="E4" s="103"/>
      <c r="F4" s="103"/>
      <c r="G4" s="103"/>
    </row>
    <row r="5" spans="2:11" ht="15.75" customHeight="1" thickBot="1">
      <c r="B5" s="105"/>
      <c r="C5" s="106"/>
      <c r="D5" s="106"/>
      <c r="E5" s="106"/>
      <c r="F5" s="106"/>
      <c r="G5" s="106"/>
      <c r="H5" s="109"/>
      <c r="J5" s="227" t="s">
        <v>51</v>
      </c>
      <c r="K5" s="110"/>
    </row>
    <row r="6" spans="1:11" ht="47.25" customHeight="1" thickBot="1">
      <c r="A6" s="916" t="s">
        <v>0</v>
      </c>
      <c r="B6" s="917"/>
      <c r="C6" s="918"/>
      <c r="D6" s="922" t="s">
        <v>77</v>
      </c>
      <c r="E6" s="923"/>
      <c r="F6" s="922" t="s">
        <v>78</v>
      </c>
      <c r="G6" s="923"/>
      <c r="H6" s="924" t="s">
        <v>74</v>
      </c>
      <c r="I6" s="925"/>
      <c r="J6" s="923" t="s">
        <v>79</v>
      </c>
      <c r="K6" s="926"/>
    </row>
    <row r="7" spans="1:14" ht="18" customHeight="1" thickBot="1">
      <c r="A7" s="919"/>
      <c r="B7" s="920"/>
      <c r="C7" s="921"/>
      <c r="D7" s="111" t="s">
        <v>80</v>
      </c>
      <c r="E7" s="111" t="s">
        <v>81</v>
      </c>
      <c r="F7" s="111" t="s">
        <v>80</v>
      </c>
      <c r="G7" s="111" t="s">
        <v>81</v>
      </c>
      <c r="H7" s="111" t="s">
        <v>80</v>
      </c>
      <c r="I7" s="111" t="s">
        <v>81</v>
      </c>
      <c r="J7" s="112" t="s">
        <v>80</v>
      </c>
      <c r="K7" s="111" t="s">
        <v>81</v>
      </c>
      <c r="N7" s="168"/>
    </row>
    <row r="8" spans="1:11" ht="12.75" customHeight="1" thickBot="1">
      <c r="A8" s="897">
        <v>1</v>
      </c>
      <c r="B8" s="910"/>
      <c r="C8" s="911"/>
      <c r="D8" s="113">
        <v>2</v>
      </c>
      <c r="E8" s="113">
        <v>3</v>
      </c>
      <c r="F8" s="113">
        <v>4</v>
      </c>
      <c r="G8" s="11">
        <v>5</v>
      </c>
      <c r="H8" s="114">
        <v>6</v>
      </c>
      <c r="I8" s="115">
        <v>7</v>
      </c>
      <c r="J8" s="116">
        <v>8</v>
      </c>
      <c r="K8" s="115">
        <v>9</v>
      </c>
    </row>
    <row r="9" spans="1:14" ht="15" customHeight="1">
      <c r="A9" s="117"/>
      <c r="B9" s="117" t="s">
        <v>6</v>
      </c>
      <c r="C9" s="118" t="s">
        <v>82</v>
      </c>
      <c r="D9" s="119">
        <f>SUM(D10:D18)</f>
        <v>1107725.42261</v>
      </c>
      <c r="E9" s="119">
        <f>SUM(E10:E18)</f>
        <v>0</v>
      </c>
      <c r="F9" s="119">
        <f>SUM(F10:F18)</f>
        <v>321203.68286</v>
      </c>
      <c r="G9" s="120">
        <f>SUM(G10:G18)</f>
        <v>0</v>
      </c>
      <c r="H9" s="121">
        <f>H10+H11+H12+H13+H14+H15+H16+H17+H18</f>
        <v>450584.232268</v>
      </c>
      <c r="I9" s="122"/>
      <c r="J9" s="123">
        <f>SUM(J10:J18)</f>
        <v>1879513.337738</v>
      </c>
      <c r="K9" s="120">
        <f>SUM(E9,G9)</f>
        <v>0</v>
      </c>
      <c r="N9" s="168"/>
    </row>
    <row r="10" spans="1:11" ht="15" customHeight="1">
      <c r="A10" s="124"/>
      <c r="B10" s="125"/>
      <c r="C10" s="126" t="s">
        <v>83</v>
      </c>
      <c r="D10" s="21">
        <f>'[4]1'!$C$10</f>
        <v>651994.055</v>
      </c>
      <c r="E10" s="21"/>
      <c r="F10" s="21">
        <f>'[4]1'!$F$10</f>
        <v>204010.018</v>
      </c>
      <c r="G10" s="21"/>
      <c r="H10" s="21">
        <f>'[5]1'!$I$10</f>
        <v>3694</v>
      </c>
      <c r="I10" s="127"/>
      <c r="J10" s="123">
        <f>D10+F10+H10</f>
        <v>859698.0730000001</v>
      </c>
      <c r="K10" s="21"/>
    </row>
    <row r="11" spans="1:11" ht="30" customHeight="1">
      <c r="A11" s="128"/>
      <c r="B11" s="125"/>
      <c r="C11" s="126" t="s">
        <v>747</v>
      </c>
      <c r="D11" s="21">
        <f>'[5]4'!$L$10/1000</f>
        <v>166615.51523</v>
      </c>
      <c r="E11" s="21"/>
      <c r="F11" s="21">
        <f>'[4]1'!$F$11</f>
        <v>54242.76486</v>
      </c>
      <c r="G11" s="21"/>
      <c r="H11" s="129">
        <f>'[5]1'!$I$11</f>
        <v>919</v>
      </c>
      <c r="I11" s="127"/>
      <c r="J11" s="123">
        <f aca="true" t="shared" si="0" ref="J11:J18">D11+F11+H11</f>
        <v>221777.28009</v>
      </c>
      <c r="K11" s="21"/>
    </row>
    <row r="12" spans="1:11" ht="15" customHeight="1">
      <c r="A12" s="128"/>
      <c r="B12" s="125"/>
      <c r="C12" s="126" t="s">
        <v>84</v>
      </c>
      <c r="D12" s="21">
        <f>'[5]4'!$L$11/1000</f>
        <v>277031.85238</v>
      </c>
      <c r="E12" s="21"/>
      <c r="F12" s="21">
        <f>'[5]1'!$F$12</f>
        <v>62950.9</v>
      </c>
      <c r="G12" s="21"/>
      <c r="H12" s="129">
        <f>'[5]1'!$I$12</f>
        <v>360189.232268</v>
      </c>
      <c r="I12" s="127"/>
      <c r="J12" s="123">
        <f t="shared" si="0"/>
        <v>700171.984648</v>
      </c>
      <c r="K12" s="21"/>
    </row>
    <row r="13" spans="1:11" ht="15" customHeight="1">
      <c r="A13" s="128"/>
      <c r="B13" s="125"/>
      <c r="C13" s="126" t="s">
        <v>85</v>
      </c>
      <c r="D13" s="21"/>
      <c r="E13" s="21"/>
      <c r="F13" s="21"/>
      <c r="G13" s="21"/>
      <c r="H13" s="129">
        <f>'[5]1'!$I$13</f>
        <v>25000</v>
      </c>
      <c r="I13" s="127"/>
      <c r="J13" s="123">
        <f t="shared" si="0"/>
        <v>25000</v>
      </c>
      <c r="K13" s="21"/>
    </row>
    <row r="14" spans="1:11" ht="24">
      <c r="A14" s="128"/>
      <c r="B14" s="125"/>
      <c r="C14" s="126" t="s">
        <v>86</v>
      </c>
      <c r="D14" s="21"/>
      <c r="E14" s="21"/>
      <c r="F14" s="21"/>
      <c r="G14" s="21"/>
      <c r="H14" s="130"/>
      <c r="I14" s="127"/>
      <c r="J14" s="123">
        <f t="shared" si="0"/>
        <v>0</v>
      </c>
      <c r="K14" s="21"/>
    </row>
    <row r="15" spans="1:11" ht="24">
      <c r="A15" s="128"/>
      <c r="B15" s="125"/>
      <c r="C15" s="126" t="s">
        <v>87</v>
      </c>
      <c r="D15" s="21"/>
      <c r="E15" s="21"/>
      <c r="F15" s="21"/>
      <c r="G15" s="21"/>
      <c r="H15" s="130"/>
      <c r="I15" s="127"/>
      <c r="J15" s="123">
        <f t="shared" si="0"/>
        <v>0</v>
      </c>
      <c r="K15" s="21"/>
    </row>
    <row r="16" spans="1:11" ht="24">
      <c r="A16" s="128"/>
      <c r="B16" s="125"/>
      <c r="C16" s="126" t="s">
        <v>88</v>
      </c>
      <c r="D16" s="21">
        <f>'[6]4'!$L$14/1000</f>
        <v>1092</v>
      </c>
      <c r="E16" s="21"/>
      <c r="F16" s="21"/>
      <c r="G16" s="21"/>
      <c r="H16" s="129">
        <f>'[5]1'!$I$15</f>
        <v>5000</v>
      </c>
      <c r="I16" s="127"/>
      <c r="J16" s="123">
        <f t="shared" si="0"/>
        <v>6092</v>
      </c>
      <c r="K16" s="21"/>
    </row>
    <row r="17" spans="1:11" ht="24">
      <c r="A17" s="128"/>
      <c r="B17" s="125"/>
      <c r="C17" s="126" t="s">
        <v>89</v>
      </c>
      <c r="D17" s="21"/>
      <c r="E17" s="21"/>
      <c r="F17" s="21"/>
      <c r="G17" s="21"/>
      <c r="H17" s="129">
        <f>'[5]1'!$I$16</f>
        <v>55782</v>
      </c>
      <c r="I17" s="127"/>
      <c r="J17" s="123">
        <f t="shared" si="0"/>
        <v>55782</v>
      </c>
      <c r="K17" s="21"/>
    </row>
    <row r="18" spans="1:11" ht="15" customHeight="1">
      <c r="A18" s="128"/>
      <c r="B18" s="125"/>
      <c r="C18" s="126" t="s">
        <v>90</v>
      </c>
      <c r="D18" s="21">
        <f>'[6]4'!$L$16/1000</f>
        <v>10992</v>
      </c>
      <c r="E18" s="21"/>
      <c r="F18" s="21"/>
      <c r="G18" s="21"/>
      <c r="H18" s="130"/>
      <c r="I18" s="127"/>
      <c r="J18" s="123">
        <f t="shared" si="0"/>
        <v>10992</v>
      </c>
      <c r="K18" s="21"/>
    </row>
    <row r="19" spans="1:11" ht="15" customHeight="1">
      <c r="A19" s="131"/>
      <c r="B19" s="132" t="s">
        <v>7</v>
      </c>
      <c r="C19" s="133" t="s">
        <v>91</v>
      </c>
      <c r="D19" s="134">
        <f aca="true" t="shared" si="1" ref="D19:I19">SUM(D20:D25)</f>
        <v>0</v>
      </c>
      <c r="E19" s="134">
        <f t="shared" si="1"/>
        <v>0</v>
      </c>
      <c r="F19" s="134">
        <f t="shared" si="1"/>
        <v>0</v>
      </c>
      <c r="G19" s="134">
        <f t="shared" si="1"/>
        <v>0</v>
      </c>
      <c r="H19" s="135">
        <f t="shared" si="1"/>
        <v>833206</v>
      </c>
      <c r="I19" s="134">
        <f t="shared" si="1"/>
        <v>0</v>
      </c>
      <c r="J19" s="136">
        <f>SUM(J20:J25)</f>
        <v>833206</v>
      </c>
      <c r="K19" s="134">
        <f>SUM(K20:K25)</f>
        <v>0</v>
      </c>
    </row>
    <row r="20" spans="1:11" ht="15" customHeight="1">
      <c r="A20" s="128"/>
      <c r="B20" s="125"/>
      <c r="C20" s="126" t="s">
        <v>92</v>
      </c>
      <c r="D20" s="21"/>
      <c r="E20" s="21"/>
      <c r="F20" s="21">
        <f>'[3]1'!$F$27</f>
        <v>0</v>
      </c>
      <c r="G20" s="21"/>
      <c r="H20" s="130">
        <v>0</v>
      </c>
      <c r="I20" s="127"/>
      <c r="J20" s="137">
        <f aca="true" t="shared" si="2" ref="J20:J25">D20+F20+H20</f>
        <v>0</v>
      </c>
      <c r="K20" s="21"/>
    </row>
    <row r="21" spans="1:11" ht="15" customHeight="1">
      <c r="A21" s="128"/>
      <c r="B21" s="125"/>
      <c r="C21" s="126" t="s">
        <v>93</v>
      </c>
      <c r="D21" s="21"/>
      <c r="E21" s="21"/>
      <c r="F21" s="21"/>
      <c r="G21" s="21"/>
      <c r="H21" s="129">
        <f>felhalm7!C54</f>
        <v>833206</v>
      </c>
      <c r="I21" s="127"/>
      <c r="J21" s="137">
        <f t="shared" si="2"/>
        <v>833206</v>
      </c>
      <c r="K21" s="21"/>
    </row>
    <row r="22" spans="1:11" ht="15" customHeight="1">
      <c r="A22" s="128"/>
      <c r="B22" s="125"/>
      <c r="C22" s="126" t="s">
        <v>94</v>
      </c>
      <c r="D22" s="21"/>
      <c r="E22" s="21"/>
      <c r="F22" s="21"/>
      <c r="G22" s="21"/>
      <c r="H22" s="130"/>
      <c r="I22" s="127"/>
      <c r="J22" s="137">
        <f t="shared" si="2"/>
        <v>0</v>
      </c>
      <c r="K22" s="21"/>
    </row>
    <row r="23" spans="1:11" ht="15" customHeight="1">
      <c r="A23" s="128"/>
      <c r="B23" s="125"/>
      <c r="C23" s="126" t="s">
        <v>85</v>
      </c>
      <c r="D23" s="21"/>
      <c r="E23" s="21"/>
      <c r="F23" s="21"/>
      <c r="G23" s="21"/>
      <c r="H23" s="130"/>
      <c r="I23" s="127"/>
      <c r="J23" s="137">
        <f t="shared" si="2"/>
        <v>0</v>
      </c>
      <c r="K23" s="21"/>
    </row>
    <row r="24" spans="1:11" ht="24">
      <c r="A24" s="128"/>
      <c r="B24" s="125"/>
      <c r="C24" s="126" t="s">
        <v>95</v>
      </c>
      <c r="D24" s="21"/>
      <c r="E24" s="21"/>
      <c r="F24" s="21"/>
      <c r="G24" s="21"/>
      <c r="H24" s="130"/>
      <c r="I24" s="127"/>
      <c r="J24" s="137">
        <f t="shared" si="2"/>
        <v>0</v>
      </c>
      <c r="K24" s="21"/>
    </row>
    <row r="25" spans="1:11" ht="15" customHeight="1">
      <c r="A25" s="128"/>
      <c r="B25" s="125"/>
      <c r="C25" s="126" t="s">
        <v>96</v>
      </c>
      <c r="D25" s="21"/>
      <c r="E25" s="21"/>
      <c r="F25" s="21">
        <f>'[3]1'!$O$31</f>
        <v>0</v>
      </c>
      <c r="G25" s="21"/>
      <c r="H25" s="130"/>
      <c r="I25" s="127"/>
      <c r="J25" s="137">
        <f t="shared" si="2"/>
        <v>0</v>
      </c>
      <c r="K25" s="21"/>
    </row>
    <row r="26" spans="1:11" ht="15" customHeight="1">
      <c r="A26" s="131"/>
      <c r="B26" s="132" t="s">
        <v>8</v>
      </c>
      <c r="C26" s="133" t="s">
        <v>97</v>
      </c>
      <c r="D26" s="134">
        <f aca="true" t="shared" si="3" ref="D26:I26">SUM(D27:D28)</f>
        <v>0</v>
      </c>
      <c r="E26" s="134">
        <f t="shared" si="3"/>
        <v>0</v>
      </c>
      <c r="F26" s="134">
        <f t="shared" si="3"/>
        <v>0</v>
      </c>
      <c r="G26" s="134">
        <f t="shared" si="3"/>
        <v>0</v>
      </c>
      <c r="H26" s="135">
        <f t="shared" si="3"/>
        <v>0</v>
      </c>
      <c r="I26" s="134">
        <f t="shared" si="3"/>
        <v>0</v>
      </c>
      <c r="J26" s="136">
        <f>SUM(J27:J28)</f>
        <v>0</v>
      </c>
      <c r="K26" s="134">
        <f>SUM(K27:K28)</f>
        <v>0</v>
      </c>
    </row>
    <row r="27" spans="1:11" ht="15" customHeight="1">
      <c r="A27" s="131"/>
      <c r="B27" s="132"/>
      <c r="C27" s="126" t="s">
        <v>98</v>
      </c>
      <c r="D27" s="134"/>
      <c r="E27" s="134"/>
      <c r="F27" s="21">
        <f>'[3]1'!$F$26</f>
        <v>0</v>
      </c>
      <c r="G27" s="21"/>
      <c r="H27" s="130"/>
      <c r="I27" s="127"/>
      <c r="J27" s="137">
        <f>D27+F27+H27</f>
        <v>0</v>
      </c>
      <c r="K27" s="21"/>
    </row>
    <row r="28" spans="1:11" ht="15" customHeight="1">
      <c r="A28" s="138"/>
      <c r="B28" s="125"/>
      <c r="C28" s="139" t="s">
        <v>99</v>
      </c>
      <c r="D28" s="21"/>
      <c r="E28" s="21"/>
      <c r="F28" s="21">
        <f>'[3]1'!$C$26</f>
        <v>0</v>
      </c>
      <c r="G28" s="21"/>
      <c r="H28" s="130"/>
      <c r="I28" s="127"/>
      <c r="J28" s="137">
        <f>D28+F28+H28</f>
        <v>0</v>
      </c>
      <c r="K28" s="21"/>
    </row>
    <row r="29" spans="1:11" ht="24">
      <c r="A29" s="140" t="s">
        <v>43</v>
      </c>
      <c r="B29" s="140"/>
      <c r="C29" s="141" t="s">
        <v>100</v>
      </c>
      <c r="D29" s="142">
        <f aca="true" t="shared" si="4" ref="D29:I29">+D26+D19+D9</f>
        <v>1107725.42261</v>
      </c>
      <c r="E29" s="142">
        <f t="shared" si="4"/>
        <v>0</v>
      </c>
      <c r="F29" s="142">
        <f t="shared" si="4"/>
        <v>321203.68286</v>
      </c>
      <c r="G29" s="142">
        <f t="shared" si="4"/>
        <v>0</v>
      </c>
      <c r="H29" s="143">
        <f t="shared" si="4"/>
        <v>1283790.232268</v>
      </c>
      <c r="I29" s="142">
        <f t="shared" si="4"/>
        <v>0</v>
      </c>
      <c r="J29" s="144">
        <f>+J26+J19+J9</f>
        <v>2712719.337738</v>
      </c>
      <c r="K29" s="142">
        <f>+K26+K19+K9</f>
        <v>0</v>
      </c>
    </row>
    <row r="30" spans="1:11" ht="15" customHeight="1">
      <c r="A30" s="145"/>
      <c r="B30" s="132" t="s">
        <v>40</v>
      </c>
      <c r="C30" s="133" t="s">
        <v>751</v>
      </c>
      <c r="D30" s="134">
        <f aca="true" t="shared" si="5" ref="D30:I30">+D31+D32+D33</f>
        <v>0</v>
      </c>
      <c r="E30" s="134">
        <f t="shared" si="5"/>
        <v>0</v>
      </c>
      <c r="F30" s="134">
        <f t="shared" si="5"/>
        <v>0</v>
      </c>
      <c r="G30" s="134">
        <f t="shared" si="5"/>
        <v>0</v>
      </c>
      <c r="H30" s="135">
        <f t="shared" si="5"/>
        <v>15000</v>
      </c>
      <c r="I30" s="134">
        <f t="shared" si="5"/>
        <v>0</v>
      </c>
      <c r="J30" s="136">
        <f>H30</f>
        <v>15000</v>
      </c>
      <c r="K30" s="134">
        <f>+K31+K32+K33</f>
        <v>0</v>
      </c>
    </row>
    <row r="31" spans="1:11" ht="15" customHeight="1">
      <c r="A31" s="128"/>
      <c r="B31" s="125"/>
      <c r="C31" s="126" t="s">
        <v>752</v>
      </c>
      <c r="D31" s="21"/>
      <c r="E31" s="21"/>
      <c r="F31" s="21">
        <v>0</v>
      </c>
      <c r="G31" s="21"/>
      <c r="H31" s="129">
        <v>5000</v>
      </c>
      <c r="I31" s="127"/>
      <c r="J31" s="137">
        <f>H31</f>
        <v>5000</v>
      </c>
      <c r="K31" s="21"/>
    </row>
    <row r="32" spans="1:11" ht="15" customHeight="1">
      <c r="A32" s="128"/>
      <c r="B32" s="125"/>
      <c r="C32" s="126" t="s">
        <v>101</v>
      </c>
      <c r="D32" s="21"/>
      <c r="E32" s="21"/>
      <c r="F32" s="21">
        <f>'[3]1'!$O$34</f>
        <v>0</v>
      </c>
      <c r="G32" s="21"/>
      <c r="H32" s="129">
        <v>10000</v>
      </c>
      <c r="I32" s="127"/>
      <c r="J32" s="137">
        <v>10000</v>
      </c>
      <c r="K32" s="21"/>
    </row>
    <row r="33" spans="1:11" ht="14.25">
      <c r="A33" s="128"/>
      <c r="B33" s="125"/>
      <c r="C33" s="126"/>
      <c r="D33" s="21"/>
      <c r="E33" s="21"/>
      <c r="F33" s="21"/>
      <c r="G33" s="21"/>
      <c r="H33" s="130"/>
      <c r="I33" s="127"/>
      <c r="J33" s="137">
        <f>D33+F33</f>
        <v>0</v>
      </c>
      <c r="K33" s="21"/>
    </row>
    <row r="34" spans="1:11" ht="15" customHeight="1">
      <c r="A34" s="138"/>
      <c r="B34" s="146" t="s">
        <v>17</v>
      </c>
      <c r="C34" s="133" t="s">
        <v>102</v>
      </c>
      <c r="D34" s="134"/>
      <c r="E34" s="134"/>
      <c r="F34" s="134"/>
      <c r="G34" s="134"/>
      <c r="H34" s="130"/>
      <c r="I34" s="127"/>
      <c r="J34" s="136">
        <f>D34+F34</f>
        <v>0</v>
      </c>
      <c r="K34" s="134"/>
    </row>
    <row r="35" spans="1:11" ht="24">
      <c r="A35" s="140" t="s">
        <v>45</v>
      </c>
      <c r="B35" s="140"/>
      <c r="C35" s="141" t="s">
        <v>103</v>
      </c>
      <c r="D35" s="142">
        <f aca="true" t="shared" si="6" ref="D35:I35">+D30+D34</f>
        <v>0</v>
      </c>
      <c r="E35" s="142">
        <f t="shared" si="6"/>
        <v>0</v>
      </c>
      <c r="F35" s="142">
        <f t="shared" si="6"/>
        <v>0</v>
      </c>
      <c r="G35" s="142">
        <f t="shared" si="6"/>
        <v>0</v>
      </c>
      <c r="H35" s="143">
        <f t="shared" si="6"/>
        <v>15000</v>
      </c>
      <c r="I35" s="142">
        <f t="shared" si="6"/>
        <v>0</v>
      </c>
      <c r="J35" s="144">
        <f>+J30+J34</f>
        <v>15000</v>
      </c>
      <c r="K35" s="142">
        <f>+K30+K34</f>
        <v>0</v>
      </c>
    </row>
    <row r="36" spans="1:11" ht="24">
      <c r="A36" s="147" t="s">
        <v>5</v>
      </c>
      <c r="B36" s="147"/>
      <c r="C36" s="148" t="s">
        <v>104</v>
      </c>
      <c r="D36" s="149">
        <f aca="true" t="shared" si="7" ref="D36:I36">+D35+D29</f>
        <v>1107725.42261</v>
      </c>
      <c r="E36" s="149">
        <f t="shared" si="7"/>
        <v>0</v>
      </c>
      <c r="F36" s="149">
        <f>F29+F35</f>
        <v>321203.68286</v>
      </c>
      <c r="G36" s="149">
        <f>G29+G35</f>
        <v>0</v>
      </c>
      <c r="H36" s="149">
        <f>H29+H35</f>
        <v>1298790.232268</v>
      </c>
      <c r="I36" s="149">
        <f t="shared" si="7"/>
        <v>0</v>
      </c>
      <c r="J36" s="150">
        <f>+J35+J29</f>
        <v>2727719.337738</v>
      </c>
      <c r="K36" s="149">
        <f>+K35+K29</f>
        <v>0</v>
      </c>
    </row>
    <row r="37" spans="1:11" ht="36">
      <c r="A37" s="151"/>
      <c r="B37" s="147"/>
      <c r="C37" s="148" t="s">
        <v>105</v>
      </c>
      <c r="D37" s="149">
        <f>'[7]1'!$G$35-D36</f>
        <v>-1107725.42261</v>
      </c>
      <c r="E37" s="149"/>
      <c r="F37" s="149">
        <f>'[7]1'!$I$35-F36</f>
        <v>522002.31714</v>
      </c>
      <c r="G37" s="149"/>
      <c r="H37" s="149">
        <f>'[7]1'!$K$35-H36</f>
        <v>-1298790.232268</v>
      </c>
      <c r="I37" s="149"/>
      <c r="J37" s="150">
        <f>D37+F37+H37</f>
        <v>-1884513.337738</v>
      </c>
      <c r="K37" s="149"/>
    </row>
    <row r="38" spans="1:11" ht="15" customHeight="1">
      <c r="A38" s="145"/>
      <c r="B38" s="132" t="s">
        <v>31</v>
      </c>
      <c r="C38" s="133" t="s">
        <v>106</v>
      </c>
      <c r="D38" s="134">
        <f aca="true" t="shared" si="8" ref="D38:I38">+D39+D40</f>
        <v>0</v>
      </c>
      <c r="E38" s="134">
        <f t="shared" si="8"/>
        <v>0</v>
      </c>
      <c r="F38" s="134">
        <f t="shared" si="8"/>
        <v>0</v>
      </c>
      <c r="G38" s="134">
        <f t="shared" si="8"/>
        <v>0</v>
      </c>
      <c r="H38" s="135">
        <f t="shared" si="8"/>
        <v>13380</v>
      </c>
      <c r="I38" s="134">
        <f t="shared" si="8"/>
        <v>0</v>
      </c>
      <c r="J38" s="136">
        <f>H38</f>
        <v>13380</v>
      </c>
      <c r="K38" s="134">
        <f>+K39+K40</f>
        <v>0</v>
      </c>
    </row>
    <row r="39" spans="1:11" ht="15" customHeight="1">
      <c r="A39" s="131"/>
      <c r="B39" s="132"/>
      <c r="C39" s="152" t="s">
        <v>107</v>
      </c>
      <c r="D39" s="21"/>
      <c r="E39" s="21"/>
      <c r="F39" s="21"/>
      <c r="G39" s="21"/>
      <c r="H39" s="130"/>
      <c r="I39" s="127"/>
      <c r="J39" s="137">
        <f>D39+F39</f>
        <v>0</v>
      </c>
      <c r="K39" s="21"/>
    </row>
    <row r="40" spans="1:15" ht="15" customHeight="1">
      <c r="A40" s="131"/>
      <c r="B40" s="132"/>
      <c r="C40" s="152" t="s">
        <v>108</v>
      </c>
      <c r="D40" s="134"/>
      <c r="E40" s="134"/>
      <c r="F40" s="21"/>
      <c r="G40" s="21"/>
      <c r="H40" s="129">
        <f>'[3]1'!$I$36</f>
        <v>13380</v>
      </c>
      <c r="I40" s="127"/>
      <c r="J40" s="137">
        <f>H40</f>
        <v>13380</v>
      </c>
      <c r="K40" s="21"/>
      <c r="O40" s="110"/>
    </row>
    <row r="41" spans="1:11" s="106" customFormat="1" ht="24">
      <c r="A41" s="153"/>
      <c r="B41" s="132" t="s">
        <v>32</v>
      </c>
      <c r="C41" s="133" t="s">
        <v>109</v>
      </c>
      <c r="D41" s="134"/>
      <c r="E41" s="134"/>
      <c r="F41" s="134"/>
      <c r="G41" s="136"/>
      <c r="H41" s="154"/>
      <c r="I41" s="69"/>
      <c r="J41" s="155">
        <f>D41+F41</f>
        <v>0</v>
      </c>
      <c r="K41" s="156"/>
    </row>
    <row r="42" spans="1:11" ht="24">
      <c r="A42" s="147" t="s">
        <v>4</v>
      </c>
      <c r="B42" s="147"/>
      <c r="C42" s="148" t="s">
        <v>110</v>
      </c>
      <c r="D42" s="149">
        <f aca="true" t="shared" si="9" ref="D42:I42">+D38+D41</f>
        <v>0</v>
      </c>
      <c r="E42" s="149">
        <f t="shared" si="9"/>
        <v>0</v>
      </c>
      <c r="F42" s="149">
        <f t="shared" si="9"/>
        <v>0</v>
      </c>
      <c r="G42" s="149">
        <f t="shared" si="9"/>
        <v>0</v>
      </c>
      <c r="H42" s="157">
        <f t="shared" si="9"/>
        <v>13380</v>
      </c>
      <c r="I42" s="157">
        <f t="shared" si="9"/>
        <v>0</v>
      </c>
      <c r="J42" s="149">
        <f>D42+F42+H42</f>
        <v>13380</v>
      </c>
      <c r="K42" s="149">
        <f>+K38+K41</f>
        <v>0</v>
      </c>
    </row>
    <row r="43" spans="1:13" ht="24">
      <c r="A43" s="131"/>
      <c r="B43" s="132" t="s">
        <v>33</v>
      </c>
      <c r="C43" s="152" t="s">
        <v>111</v>
      </c>
      <c r="D43" s="134"/>
      <c r="E43" s="134"/>
      <c r="F43" s="21"/>
      <c r="G43" s="137"/>
      <c r="H43" s="130"/>
      <c r="I43" s="127"/>
      <c r="J43" s="137">
        <f>D43+F43</f>
        <v>0</v>
      </c>
      <c r="K43" s="21"/>
      <c r="M43" s="110"/>
    </row>
    <row r="44" spans="1:13" ht="15.75" thickBot="1">
      <c r="A44" s="158"/>
      <c r="B44" s="159" t="s">
        <v>34</v>
      </c>
      <c r="C44" s="160" t="s">
        <v>112</v>
      </c>
      <c r="D44" s="27"/>
      <c r="E44" s="27"/>
      <c r="F44" s="27"/>
      <c r="G44" s="161"/>
      <c r="H44" s="162"/>
      <c r="I44" s="163"/>
      <c r="J44" s="137">
        <f>D44+F44</f>
        <v>0</v>
      </c>
      <c r="K44" s="164"/>
      <c r="M44" s="848"/>
    </row>
    <row r="45" spans="1:13" ht="15.75" thickBot="1">
      <c r="A45" s="912" t="s">
        <v>36</v>
      </c>
      <c r="B45" s="913"/>
      <c r="C45" s="165" t="s">
        <v>113</v>
      </c>
      <c r="D45" s="13">
        <f>D36+D42</f>
        <v>1107725.42261</v>
      </c>
      <c r="E45" s="13">
        <f>+E42+E43+E44</f>
        <v>0</v>
      </c>
      <c r="F45" s="13">
        <f>F36+F42</f>
        <v>321203.68286</v>
      </c>
      <c r="G45" s="13">
        <f>+G42+G43+G44</f>
        <v>0</v>
      </c>
      <c r="H45" s="15">
        <f>H36+H42+H43+H44</f>
        <v>1312170.232268</v>
      </c>
      <c r="I45" s="13">
        <f>+I42+I43+I44</f>
        <v>0</v>
      </c>
      <c r="J45" s="14">
        <f>J36+J42+J43+J44</f>
        <v>2741099.337738</v>
      </c>
      <c r="K45" s="13">
        <f>+K42+K43+K44</f>
        <v>0</v>
      </c>
      <c r="M45" s="110"/>
    </row>
    <row r="46" spans="3:7" ht="9.75">
      <c r="C46" s="167"/>
      <c r="D46" s="168"/>
      <c r="E46" s="168"/>
      <c r="F46" s="168"/>
      <c r="G46" s="168"/>
    </row>
    <row r="47" spans="3:7" ht="9.75">
      <c r="C47" s="167"/>
      <c r="D47" s="168"/>
      <c r="E47" s="168"/>
      <c r="F47" s="168"/>
      <c r="G47" s="168"/>
    </row>
    <row r="48" spans="3:10" ht="9.75">
      <c r="C48" s="167"/>
      <c r="D48" s="168"/>
      <c r="E48" s="168"/>
      <c r="F48" s="168"/>
      <c r="G48" s="168"/>
      <c r="J48" s="168"/>
    </row>
    <row r="56" ht="15">
      <c r="M56" s="169"/>
    </row>
  </sheetData>
  <sheetProtection/>
  <mergeCells count="9">
    <mergeCell ref="A8:C8"/>
    <mergeCell ref="A45:B45"/>
    <mergeCell ref="J1:K1"/>
    <mergeCell ref="A3:K3"/>
    <mergeCell ref="A6:C7"/>
    <mergeCell ref="D6:E6"/>
    <mergeCell ref="F6:G6"/>
    <mergeCell ref="H6:I6"/>
    <mergeCell ref="J6:K6"/>
  </mergeCells>
  <printOptions horizontalCentered="1"/>
  <pageMargins left="0.2362204724409449" right="0.03937007874015748" top="0.5905511811023623" bottom="0.6692913385826772" header="0.5118110236220472" footer="0.5118110236220472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63">
      <selection activeCell="I66" sqref="I66"/>
    </sheetView>
  </sheetViews>
  <sheetFormatPr defaultColWidth="9.00390625" defaultRowHeight="12.75"/>
  <cols>
    <col min="1" max="1" width="4.125" style="0" customWidth="1"/>
    <col min="4" max="4" width="9.75390625" style="0" bestFit="1" customWidth="1"/>
    <col min="6" max="6" width="23.625" style="0" customWidth="1"/>
    <col min="7" max="7" width="15.75390625" style="0" customWidth="1"/>
    <col min="8" max="8" width="14.625" style="0" customWidth="1"/>
    <col min="9" max="9" width="14.75390625" style="0" customWidth="1"/>
    <col min="10" max="10" width="10.125" style="170" bestFit="1" customWidth="1"/>
    <col min="11" max="11" width="10.125" style="171" bestFit="1" customWidth="1"/>
    <col min="12" max="12" width="9.875" style="170" customWidth="1"/>
  </cols>
  <sheetData>
    <row r="1" spans="1:9" ht="16.5" customHeight="1">
      <c r="A1" s="988" t="s">
        <v>114</v>
      </c>
      <c r="B1" s="988"/>
      <c r="C1" s="988"/>
      <c r="D1" s="988"/>
      <c r="E1" s="988"/>
      <c r="F1" s="988"/>
      <c r="G1" s="988"/>
      <c r="H1" s="988"/>
      <c r="I1" s="988"/>
    </row>
    <row r="2" spans="1:9" ht="17.25" customHeight="1">
      <c r="A2" s="988" t="s">
        <v>115</v>
      </c>
      <c r="B2" s="988"/>
      <c r="C2" s="988"/>
      <c r="D2" s="988"/>
      <c r="E2" s="988"/>
      <c r="F2" s="988"/>
      <c r="G2" s="988"/>
      <c r="H2" s="988"/>
      <c r="I2" s="988"/>
    </row>
    <row r="3" spans="1:9" ht="15.75" customHeight="1">
      <c r="A3" s="988" t="s">
        <v>116</v>
      </c>
      <c r="B3" s="988"/>
      <c r="C3" s="988"/>
      <c r="D3" s="988"/>
      <c r="E3" s="988"/>
      <c r="F3" s="988"/>
      <c r="G3" s="988"/>
      <c r="H3" s="988"/>
      <c r="I3" s="988"/>
    </row>
    <row r="4" spans="1:9" ht="15.75" customHeight="1" thickBot="1">
      <c r="A4" s="172"/>
      <c r="B4" s="172"/>
      <c r="C4" s="172"/>
      <c r="D4" s="172"/>
      <c r="E4" s="172"/>
      <c r="F4" s="172"/>
      <c r="G4" s="989" t="s">
        <v>51</v>
      </c>
      <c r="H4" s="989"/>
      <c r="I4" s="989"/>
    </row>
    <row r="5" spans="1:9" ht="18.75" customHeight="1">
      <c r="A5" s="990" t="s">
        <v>0</v>
      </c>
      <c r="B5" s="991"/>
      <c r="C5" s="991"/>
      <c r="D5" s="991"/>
      <c r="E5" s="991"/>
      <c r="F5" s="992"/>
      <c r="G5" s="996">
        <v>2012</v>
      </c>
      <c r="H5" s="996" t="s">
        <v>737</v>
      </c>
      <c r="I5" s="996" t="s">
        <v>738</v>
      </c>
    </row>
    <row r="6" spans="1:10" ht="18" customHeight="1" thickBot="1">
      <c r="A6" s="993"/>
      <c r="B6" s="994"/>
      <c r="C6" s="994"/>
      <c r="D6" s="994"/>
      <c r="E6" s="994"/>
      <c r="F6" s="995"/>
      <c r="G6" s="997"/>
      <c r="H6" s="997"/>
      <c r="I6" s="997"/>
      <c r="J6" s="174"/>
    </row>
    <row r="7" spans="1:9" ht="16.5" thickBot="1">
      <c r="A7" s="175" t="s">
        <v>118</v>
      </c>
      <c r="B7" s="985" t="s">
        <v>119</v>
      </c>
      <c r="C7" s="986"/>
      <c r="D7" s="986"/>
      <c r="E7" s="986"/>
      <c r="F7" s="987"/>
      <c r="G7" s="176"/>
      <c r="H7" s="176"/>
      <c r="I7" s="176"/>
    </row>
    <row r="8" spans="1:9" ht="15">
      <c r="A8" s="177" t="s">
        <v>120</v>
      </c>
      <c r="B8" s="958" t="s">
        <v>1</v>
      </c>
      <c r="C8" s="959"/>
      <c r="D8" s="959"/>
      <c r="E8" s="959"/>
      <c r="F8" s="960"/>
      <c r="G8" s="178">
        <f>Bevételek!M7</f>
        <v>95080</v>
      </c>
      <c r="H8" s="178">
        <v>410486</v>
      </c>
      <c r="I8" s="178">
        <v>423531</v>
      </c>
    </row>
    <row r="9" spans="1:9" ht="15">
      <c r="A9" s="179" t="s">
        <v>121</v>
      </c>
      <c r="B9" s="961" t="s">
        <v>2</v>
      </c>
      <c r="C9" s="962"/>
      <c r="D9" s="962"/>
      <c r="E9" s="962"/>
      <c r="F9" s="963"/>
      <c r="G9" s="178">
        <f>Bevételek!M12</f>
        <v>899394.541</v>
      </c>
      <c r="H9" s="180">
        <v>876962</v>
      </c>
      <c r="I9" s="178">
        <v>896983</v>
      </c>
    </row>
    <row r="10" spans="1:9" ht="15">
      <c r="A10" s="179" t="s">
        <v>122</v>
      </c>
      <c r="B10" s="961" t="s">
        <v>3</v>
      </c>
      <c r="C10" s="962"/>
      <c r="D10" s="962"/>
      <c r="E10" s="962"/>
      <c r="F10" s="963"/>
      <c r="G10" s="178">
        <f>Bevételek!M16</f>
        <v>725827</v>
      </c>
      <c r="H10" s="180">
        <v>892133</v>
      </c>
      <c r="I10" s="178">
        <v>1000464</v>
      </c>
    </row>
    <row r="11" spans="1:9" ht="15">
      <c r="A11" s="179" t="s">
        <v>123</v>
      </c>
      <c r="B11" s="961" t="s">
        <v>124</v>
      </c>
      <c r="C11" s="962"/>
      <c r="D11" s="962"/>
      <c r="E11" s="962"/>
      <c r="F11" s="963"/>
      <c r="G11" s="178">
        <f>Bevételek!M24</f>
        <v>129809</v>
      </c>
      <c r="H11" s="180">
        <v>183163</v>
      </c>
      <c r="I11" s="178">
        <v>103206</v>
      </c>
    </row>
    <row r="12" spans="1:9" ht="15">
      <c r="A12" s="179" t="s">
        <v>17</v>
      </c>
      <c r="B12" s="961" t="s">
        <v>30</v>
      </c>
      <c r="C12" s="962"/>
      <c r="D12" s="962"/>
      <c r="E12" s="962"/>
      <c r="F12" s="963"/>
      <c r="G12" s="178">
        <f>'[3]1'!$C$46+'[3]1'!$F$46</f>
        <v>0</v>
      </c>
      <c r="H12" s="180">
        <v>2212</v>
      </c>
      <c r="I12" s="178"/>
    </row>
    <row r="13" spans="1:9" ht="15.75" thickBot="1">
      <c r="A13" s="181" t="s">
        <v>31</v>
      </c>
      <c r="B13" s="961" t="s">
        <v>125</v>
      </c>
      <c r="C13" s="962"/>
      <c r="D13" s="962"/>
      <c r="E13" s="962"/>
      <c r="F13" s="963"/>
      <c r="G13" s="180">
        <f>'[3]1'!$O$49</f>
        <v>0</v>
      </c>
      <c r="H13" s="180"/>
      <c r="I13" s="178">
        <v>3650</v>
      </c>
    </row>
    <row r="14" spans="1:9" ht="35.25" customHeight="1" thickBot="1">
      <c r="A14" s="182" t="s">
        <v>32</v>
      </c>
      <c r="B14" s="931" t="s">
        <v>126</v>
      </c>
      <c r="C14" s="932"/>
      <c r="D14" s="932"/>
      <c r="E14" s="932"/>
      <c r="F14" s="933"/>
      <c r="G14" s="183">
        <f>SUM(G8:G13)</f>
        <v>1850110.541</v>
      </c>
      <c r="H14" s="183">
        <f>SUM(H8:H13)</f>
        <v>2364956</v>
      </c>
      <c r="I14" s="183">
        <f>SUM(I8:I13)</f>
        <v>2427834</v>
      </c>
    </row>
    <row r="15" spans="1:12" s="188" customFormat="1" ht="15.75" customHeight="1" thickBot="1">
      <c r="A15" s="184" t="s">
        <v>33</v>
      </c>
      <c r="B15" s="967" t="s">
        <v>127</v>
      </c>
      <c r="C15" s="968"/>
      <c r="D15" s="968"/>
      <c r="E15" s="968"/>
      <c r="F15" s="969"/>
      <c r="G15" s="185">
        <f>Bevételek!$K$37</f>
        <v>13541</v>
      </c>
      <c r="H15" s="185">
        <v>21009</v>
      </c>
      <c r="I15" s="178">
        <v>75616</v>
      </c>
      <c r="J15" s="186"/>
      <c r="K15" s="187"/>
      <c r="L15" s="186"/>
    </row>
    <row r="16" spans="1:9" ht="16.5" customHeight="1" thickBot="1">
      <c r="A16" s="175" t="s">
        <v>34</v>
      </c>
      <c r="B16" s="931" t="s">
        <v>128</v>
      </c>
      <c r="C16" s="932"/>
      <c r="D16" s="932"/>
      <c r="E16" s="932"/>
      <c r="F16" s="933"/>
      <c r="G16" s="183">
        <f>SUM(G15)</f>
        <v>13541</v>
      </c>
      <c r="H16" s="183">
        <f>SUM(H15)</f>
        <v>21009</v>
      </c>
      <c r="I16" s="183">
        <f>SUM(I15)</f>
        <v>75616</v>
      </c>
    </row>
    <row r="17" spans="1:9" ht="15.75" customHeight="1" thickBot="1">
      <c r="A17" s="189" t="s">
        <v>36</v>
      </c>
      <c r="B17" s="927" t="s">
        <v>129</v>
      </c>
      <c r="C17" s="928"/>
      <c r="D17" s="928"/>
      <c r="E17" s="928"/>
      <c r="F17" s="929"/>
      <c r="G17" s="190">
        <f>SUM(G16,G14)</f>
        <v>1863651.541</v>
      </c>
      <c r="H17" s="190">
        <f>SUM(H16,H14)</f>
        <v>2385965</v>
      </c>
      <c r="I17" s="190">
        <f>SUM(I16,I14)</f>
        <v>2503450</v>
      </c>
    </row>
    <row r="18" spans="1:9" ht="15" customHeight="1">
      <c r="A18" s="177" t="s">
        <v>37</v>
      </c>
      <c r="B18" s="982" t="s">
        <v>130</v>
      </c>
      <c r="C18" s="983"/>
      <c r="D18" s="983"/>
      <c r="E18" s="983"/>
      <c r="F18" s="984"/>
      <c r="G18" s="191">
        <v>0</v>
      </c>
      <c r="H18" s="191"/>
      <c r="I18" s="178">
        <f>SUM(G18:H18)</f>
        <v>0</v>
      </c>
    </row>
    <row r="19" spans="1:9" ht="15.75" customHeight="1" thickBot="1">
      <c r="A19" s="184" t="s">
        <v>38</v>
      </c>
      <c r="B19" s="967" t="s">
        <v>131</v>
      </c>
      <c r="C19" s="968"/>
      <c r="D19" s="968"/>
      <c r="E19" s="968"/>
      <c r="F19" s="969"/>
      <c r="G19" s="185">
        <v>0</v>
      </c>
      <c r="H19" s="192"/>
      <c r="I19" s="178">
        <v>454550</v>
      </c>
    </row>
    <row r="20" spans="1:9" ht="15.75" customHeight="1" thickBot="1">
      <c r="A20" s="189" t="s">
        <v>39</v>
      </c>
      <c r="B20" s="927" t="s">
        <v>132</v>
      </c>
      <c r="C20" s="928"/>
      <c r="D20" s="928"/>
      <c r="E20" s="928"/>
      <c r="F20" s="929"/>
      <c r="G20" s="190">
        <f>SUM(G18:G19)</f>
        <v>0</v>
      </c>
      <c r="H20" s="190">
        <f>SUM(H18:H19)</f>
        <v>0</v>
      </c>
      <c r="I20" s="190">
        <f>SUM(I18:I19)</f>
        <v>454550</v>
      </c>
    </row>
    <row r="21" spans="1:9" ht="16.5" customHeight="1" thickBot="1">
      <c r="A21" s="193" t="s">
        <v>69</v>
      </c>
      <c r="B21" s="970" t="s">
        <v>133</v>
      </c>
      <c r="C21" s="971"/>
      <c r="D21" s="971"/>
      <c r="E21" s="971"/>
      <c r="F21" s="972"/>
      <c r="G21" s="194">
        <f>SUM(G17,G20)</f>
        <v>1863651.541</v>
      </c>
      <c r="H21" s="194">
        <f>SUM(H17,H20)</f>
        <v>2385965</v>
      </c>
      <c r="I21" s="194">
        <f>SUM(I17,I20)</f>
        <v>2958000</v>
      </c>
    </row>
    <row r="22" spans="1:11" ht="15">
      <c r="A22" s="195" t="s">
        <v>134</v>
      </c>
      <c r="B22" s="976" t="s">
        <v>135</v>
      </c>
      <c r="C22" s="977"/>
      <c r="D22" s="977"/>
      <c r="E22" s="977"/>
      <c r="F22" s="978"/>
      <c r="G22" s="178">
        <f>Kiadás!J10</f>
        <v>859698.0730000001</v>
      </c>
      <c r="H22" s="178">
        <f>865734+69279</f>
        <v>935013</v>
      </c>
      <c r="I22" s="178">
        <v>975203</v>
      </c>
      <c r="K22" s="196"/>
    </row>
    <row r="23" spans="1:13" ht="30" customHeight="1">
      <c r="A23" s="197" t="s">
        <v>136</v>
      </c>
      <c r="B23" s="979" t="s">
        <v>748</v>
      </c>
      <c r="C23" s="980"/>
      <c r="D23" s="980"/>
      <c r="E23" s="980"/>
      <c r="F23" s="981"/>
      <c r="G23" s="178">
        <f>Kiadás!J11</f>
        <v>221777.28009</v>
      </c>
      <c r="H23" s="180">
        <v>254938</v>
      </c>
      <c r="I23" s="178">
        <v>260021</v>
      </c>
      <c r="K23" s="196"/>
      <c r="M23" s="198"/>
    </row>
    <row r="24" spans="1:14" s="188" customFormat="1" ht="15">
      <c r="A24" s="197" t="s">
        <v>138</v>
      </c>
      <c r="B24" s="961" t="s">
        <v>139</v>
      </c>
      <c r="C24" s="962"/>
      <c r="D24" s="962"/>
      <c r="E24" s="962"/>
      <c r="F24" s="963"/>
      <c r="G24" s="178">
        <f>Kiadás!J12</f>
        <v>700171.984648</v>
      </c>
      <c r="H24" s="180">
        <f>39919+547764+180869+91726</f>
        <v>860278</v>
      </c>
      <c r="I24" s="178">
        <f>713105+27229+48351</f>
        <v>788685</v>
      </c>
      <c r="J24" s="170"/>
      <c r="K24" s="196"/>
      <c r="L24" s="170"/>
      <c r="N24" s="199"/>
    </row>
    <row r="25" spans="1:12" s="188" customFormat="1" ht="15">
      <c r="A25" s="197" t="s">
        <v>140</v>
      </c>
      <c r="B25" s="961" t="s">
        <v>141</v>
      </c>
      <c r="C25" s="962"/>
      <c r="D25" s="962"/>
      <c r="E25" s="962"/>
      <c r="F25" s="963"/>
      <c r="G25" s="178">
        <f>Kiadás!J13</f>
        <v>25000</v>
      </c>
      <c r="H25" s="180">
        <v>24686</v>
      </c>
      <c r="I25" s="178">
        <v>25513</v>
      </c>
      <c r="J25" s="170"/>
      <c r="K25" s="196"/>
      <c r="L25" s="170"/>
    </row>
    <row r="26" spans="1:12" s="200" customFormat="1" ht="15">
      <c r="A26" s="197" t="s">
        <v>142</v>
      </c>
      <c r="B26" s="961" t="s">
        <v>143</v>
      </c>
      <c r="C26" s="962"/>
      <c r="D26" s="962"/>
      <c r="E26" s="962"/>
      <c r="F26" s="963"/>
      <c r="G26" s="178">
        <v>0</v>
      </c>
      <c r="H26" s="180"/>
      <c r="I26" s="178"/>
      <c r="J26" s="170"/>
      <c r="K26" s="196"/>
      <c r="L26" s="170"/>
    </row>
    <row r="27" spans="1:14" s="200" customFormat="1" ht="15">
      <c r="A27" s="197" t="s">
        <v>144</v>
      </c>
      <c r="B27" s="961" t="s">
        <v>145</v>
      </c>
      <c r="C27" s="962"/>
      <c r="D27" s="962"/>
      <c r="E27" s="962"/>
      <c r="F27" s="963"/>
      <c r="G27" s="178">
        <f>Kiadás!J16</f>
        <v>6092</v>
      </c>
      <c r="H27" s="180">
        <v>26740</v>
      </c>
      <c r="I27" s="178">
        <v>39154</v>
      </c>
      <c r="J27" s="170"/>
      <c r="K27" s="196"/>
      <c r="L27" s="170"/>
      <c r="N27" s="201"/>
    </row>
    <row r="28" spans="1:14" s="200" customFormat="1" ht="15">
      <c r="A28" s="197" t="s">
        <v>146</v>
      </c>
      <c r="B28" s="202" t="s">
        <v>147</v>
      </c>
      <c r="C28" s="203"/>
      <c r="D28" s="203"/>
      <c r="E28" s="203"/>
      <c r="F28" s="204"/>
      <c r="G28" s="178">
        <f>Kiadás!J17</f>
        <v>55782</v>
      </c>
      <c r="H28" s="180">
        <f>233288-13820</f>
        <v>219468</v>
      </c>
      <c r="I28" s="178">
        <v>177820</v>
      </c>
      <c r="J28" s="170"/>
      <c r="K28" s="196"/>
      <c r="L28" s="170"/>
      <c r="N28" s="201"/>
    </row>
    <row r="29" spans="1:12" s="200" customFormat="1" ht="15.75" thickBot="1">
      <c r="A29" s="205" t="s">
        <v>148</v>
      </c>
      <c r="B29" s="949" t="s">
        <v>149</v>
      </c>
      <c r="C29" s="950"/>
      <c r="D29" s="950"/>
      <c r="E29" s="950"/>
      <c r="F29" s="951"/>
      <c r="G29" s="185">
        <f>Kiadás!J18</f>
        <v>10992</v>
      </c>
      <c r="H29" s="206">
        <v>13820</v>
      </c>
      <c r="I29" s="185">
        <v>15368</v>
      </c>
      <c r="J29" s="170"/>
      <c r="K29" s="196"/>
      <c r="L29" s="170"/>
    </row>
    <row r="30" spans="1:12" s="200" customFormat="1" ht="35.25" customHeight="1" thickBot="1">
      <c r="A30" s="207" t="s">
        <v>150</v>
      </c>
      <c r="B30" s="931" t="s">
        <v>151</v>
      </c>
      <c r="C30" s="932"/>
      <c r="D30" s="932"/>
      <c r="E30" s="932"/>
      <c r="F30" s="933"/>
      <c r="G30" s="183">
        <f>SUM(G22:G29)</f>
        <v>1879513.337738</v>
      </c>
      <c r="H30" s="183">
        <f>SUM(H22:H29)</f>
        <v>2334943</v>
      </c>
      <c r="I30" s="183">
        <f>SUM(I22:I29)</f>
        <v>2281764</v>
      </c>
      <c r="J30" s="186"/>
      <c r="K30" s="187"/>
      <c r="L30" s="186"/>
    </row>
    <row r="31" spans="1:12" s="200" customFormat="1" ht="15.75" customHeight="1" thickBot="1">
      <c r="A31" s="208" t="s">
        <v>152</v>
      </c>
      <c r="B31" s="967" t="s">
        <v>153</v>
      </c>
      <c r="C31" s="968"/>
      <c r="D31" s="968"/>
      <c r="E31" s="968"/>
      <c r="F31" s="969"/>
      <c r="G31" s="185">
        <f>Kiadás!J31</f>
        <v>5000</v>
      </c>
      <c r="H31" s="185"/>
      <c r="I31" s="185"/>
      <c r="J31" s="170"/>
      <c r="K31" s="171"/>
      <c r="L31" s="170"/>
    </row>
    <row r="32" spans="1:12" s="200" customFormat="1" ht="18" customHeight="1" thickBot="1">
      <c r="A32" s="207" t="s">
        <v>154</v>
      </c>
      <c r="B32" s="931" t="s">
        <v>155</v>
      </c>
      <c r="C32" s="932"/>
      <c r="D32" s="932"/>
      <c r="E32" s="932"/>
      <c r="F32" s="933"/>
      <c r="G32" s="183">
        <f>SUM(G31)</f>
        <v>5000</v>
      </c>
      <c r="H32" s="183">
        <f>SUM(H31)</f>
        <v>0</v>
      </c>
      <c r="I32" s="183">
        <f>SUM(I31)</f>
        <v>0</v>
      </c>
      <c r="J32" s="170"/>
      <c r="K32" s="171"/>
      <c r="L32" s="170"/>
    </row>
    <row r="33" spans="1:12" s="188" customFormat="1" ht="15.75" customHeight="1" thickBot="1">
      <c r="A33" s="207" t="s">
        <v>156</v>
      </c>
      <c r="B33" s="927" t="s">
        <v>157</v>
      </c>
      <c r="C33" s="928"/>
      <c r="D33" s="928"/>
      <c r="E33" s="928"/>
      <c r="F33" s="929"/>
      <c r="G33" s="190">
        <f>SUM(G32,G30)</f>
        <v>1884513.337738</v>
      </c>
      <c r="H33" s="190">
        <f>SUM(H32,H30)</f>
        <v>2334943</v>
      </c>
      <c r="I33" s="190">
        <f>SUM(I32,I30)</f>
        <v>2281764</v>
      </c>
      <c r="J33" s="186"/>
      <c r="K33" s="187"/>
      <c r="L33" s="186"/>
    </row>
    <row r="34" spans="1:12" s="200" customFormat="1" ht="15" customHeight="1">
      <c r="A34" s="209" t="s">
        <v>158</v>
      </c>
      <c r="B34" s="964" t="s">
        <v>159</v>
      </c>
      <c r="C34" s="965"/>
      <c r="D34" s="965"/>
      <c r="E34" s="965"/>
      <c r="F34" s="966"/>
      <c r="G34" s="178">
        <v>0</v>
      </c>
      <c r="H34" s="178"/>
      <c r="I34" s="178"/>
      <c r="J34" s="170"/>
      <c r="K34" s="171"/>
      <c r="L34" s="170"/>
    </row>
    <row r="35" spans="1:12" s="200" customFormat="1" ht="15.75" customHeight="1" thickBot="1">
      <c r="A35" s="205" t="s">
        <v>160</v>
      </c>
      <c r="B35" s="967" t="s">
        <v>161</v>
      </c>
      <c r="C35" s="968"/>
      <c r="D35" s="968"/>
      <c r="E35" s="968"/>
      <c r="F35" s="969"/>
      <c r="G35" s="185">
        <v>0</v>
      </c>
      <c r="H35" s="185"/>
      <c r="I35" s="185"/>
      <c r="J35" s="170"/>
      <c r="K35" s="171"/>
      <c r="L35" s="170"/>
    </row>
    <row r="36" spans="1:12" s="200" customFormat="1" ht="15.75" customHeight="1" thickBot="1">
      <c r="A36" s="207" t="s">
        <v>162</v>
      </c>
      <c r="B36" s="927" t="s">
        <v>163</v>
      </c>
      <c r="C36" s="928"/>
      <c r="D36" s="928"/>
      <c r="E36" s="928"/>
      <c r="F36" s="929"/>
      <c r="G36" s="190">
        <f>SUM(G34:G35)</f>
        <v>0</v>
      </c>
      <c r="H36" s="190">
        <f>SUM(H34:H35)</f>
        <v>0</v>
      </c>
      <c r="I36" s="190">
        <f>SUM(I34:I35)</f>
        <v>0</v>
      </c>
      <c r="J36" s="170"/>
      <c r="K36" s="171"/>
      <c r="L36" s="170"/>
    </row>
    <row r="37" spans="1:12" s="200" customFormat="1" ht="16.5" customHeight="1" thickBot="1">
      <c r="A37" s="210" t="s">
        <v>164</v>
      </c>
      <c r="B37" s="970" t="s">
        <v>165</v>
      </c>
      <c r="C37" s="971"/>
      <c r="D37" s="971"/>
      <c r="E37" s="971"/>
      <c r="F37" s="972"/>
      <c r="G37" s="194">
        <f>SUM(G33,G36)</f>
        <v>1884513.337738</v>
      </c>
      <c r="H37" s="194">
        <f>SUM(H33,H36)</f>
        <v>2334943</v>
      </c>
      <c r="I37" s="194">
        <f>SUM(I33,I36)</f>
        <v>2281764</v>
      </c>
      <c r="J37" s="170"/>
      <c r="K37" s="171"/>
      <c r="L37" s="170"/>
    </row>
    <row r="38" spans="1:12" s="200" customFormat="1" ht="16.5" thickBot="1">
      <c r="A38" s="175" t="s">
        <v>4</v>
      </c>
      <c r="B38" s="973" t="s">
        <v>166</v>
      </c>
      <c r="C38" s="974"/>
      <c r="D38" s="974"/>
      <c r="E38" s="974"/>
      <c r="F38" s="975"/>
      <c r="G38" s="211"/>
      <c r="H38" s="211"/>
      <c r="I38" s="211"/>
      <c r="J38" s="170"/>
      <c r="K38" s="171"/>
      <c r="L38" s="170"/>
    </row>
    <row r="39" spans="1:12" s="200" customFormat="1" ht="15">
      <c r="A39" s="212" t="s">
        <v>167</v>
      </c>
      <c r="B39" s="958" t="s">
        <v>168</v>
      </c>
      <c r="C39" s="959"/>
      <c r="D39" s="959"/>
      <c r="E39" s="959"/>
      <c r="F39" s="960"/>
      <c r="G39" s="178">
        <f>Bevételek!M20</f>
        <v>114335</v>
      </c>
      <c r="H39" s="178"/>
      <c r="I39" s="178">
        <v>42713</v>
      </c>
      <c r="J39" s="170"/>
      <c r="K39" s="171"/>
      <c r="L39" s="170"/>
    </row>
    <row r="40" spans="1:12" s="200" customFormat="1" ht="15">
      <c r="A40" s="213" t="s">
        <v>169</v>
      </c>
      <c r="B40" s="961" t="s">
        <v>124</v>
      </c>
      <c r="C40" s="962"/>
      <c r="D40" s="962"/>
      <c r="E40" s="962"/>
      <c r="F40" s="963"/>
      <c r="G40" s="178">
        <f>'[3]1'!$O$45</f>
        <v>0</v>
      </c>
      <c r="H40" s="180">
        <v>379263</v>
      </c>
      <c r="I40" s="178">
        <v>347505</v>
      </c>
      <c r="J40" s="170"/>
      <c r="K40" s="171"/>
      <c r="L40" s="170"/>
    </row>
    <row r="41" spans="1:12" s="200" customFormat="1" ht="15">
      <c r="A41" s="214" t="s">
        <v>170</v>
      </c>
      <c r="B41" s="961" t="s">
        <v>30</v>
      </c>
      <c r="C41" s="962"/>
      <c r="D41" s="962"/>
      <c r="E41" s="962"/>
      <c r="F41" s="963"/>
      <c r="G41" s="178">
        <f>Bevételek!M28</f>
        <v>10000</v>
      </c>
      <c r="H41" s="180">
        <f>35634+1392</f>
        <v>37026</v>
      </c>
      <c r="I41" s="178"/>
      <c r="J41" s="170"/>
      <c r="K41" s="171"/>
      <c r="L41" s="170"/>
    </row>
    <row r="42" spans="1:12" s="188" customFormat="1" ht="15.75" thickBot="1">
      <c r="A42" s="213" t="s">
        <v>171</v>
      </c>
      <c r="B42" s="961" t="s">
        <v>35</v>
      </c>
      <c r="C42" s="962"/>
      <c r="D42" s="962"/>
      <c r="E42" s="962"/>
      <c r="F42" s="963"/>
      <c r="G42" s="178"/>
      <c r="H42" s="180"/>
      <c r="I42" s="178"/>
      <c r="J42" s="170"/>
      <c r="K42" s="187"/>
      <c r="L42" s="170"/>
    </row>
    <row r="43" spans="1:12" s="188" customFormat="1" ht="32.25" customHeight="1" thickBot="1">
      <c r="A43" s="215" t="s">
        <v>172</v>
      </c>
      <c r="B43" s="931" t="s">
        <v>173</v>
      </c>
      <c r="C43" s="932"/>
      <c r="D43" s="932"/>
      <c r="E43" s="932"/>
      <c r="F43" s="933"/>
      <c r="G43" s="183">
        <f>SUM(G39:G42)</f>
        <v>124335</v>
      </c>
      <c r="H43" s="183">
        <f>SUM(H39:H42)</f>
        <v>416289</v>
      </c>
      <c r="I43" s="183">
        <f>SUM(I39:I42)</f>
        <v>390218</v>
      </c>
      <c r="J43" s="186"/>
      <c r="K43" s="187"/>
      <c r="L43" s="170"/>
    </row>
    <row r="44" spans="1:12" s="188" customFormat="1" ht="16.5" customHeight="1" thickBot="1">
      <c r="A44" s="213" t="s">
        <v>174</v>
      </c>
      <c r="B44" s="952" t="s">
        <v>175</v>
      </c>
      <c r="C44" s="953"/>
      <c r="D44" s="953"/>
      <c r="E44" s="953"/>
      <c r="F44" s="954"/>
      <c r="G44" s="178">
        <f>Bevételek!$K$38</f>
        <v>753112</v>
      </c>
      <c r="H44" s="216">
        <v>90195</v>
      </c>
      <c r="I44" s="178">
        <v>392917</v>
      </c>
      <c r="J44" s="186"/>
      <c r="K44" s="187"/>
      <c r="L44" s="170"/>
    </row>
    <row r="45" spans="1:12" s="188" customFormat="1" ht="16.5" customHeight="1" thickBot="1">
      <c r="A45" s="215" t="s">
        <v>176</v>
      </c>
      <c r="B45" s="931" t="s">
        <v>177</v>
      </c>
      <c r="C45" s="932"/>
      <c r="D45" s="932"/>
      <c r="E45" s="932"/>
      <c r="F45" s="933"/>
      <c r="G45" s="183">
        <f>SUM(G44)</f>
        <v>753112</v>
      </c>
      <c r="H45" s="183">
        <f>SUM(H44)</f>
        <v>90195</v>
      </c>
      <c r="I45" s="183">
        <f>SUM(I44)</f>
        <v>392917</v>
      </c>
      <c r="J45" s="186"/>
      <c r="K45" s="187"/>
      <c r="L45" s="170"/>
    </row>
    <row r="46" spans="1:12" s="188" customFormat="1" ht="15.75" customHeight="1" thickBot="1">
      <c r="A46" s="217" t="s">
        <v>178</v>
      </c>
      <c r="B46" s="927" t="s">
        <v>179</v>
      </c>
      <c r="C46" s="928"/>
      <c r="D46" s="928"/>
      <c r="E46" s="928"/>
      <c r="F46" s="929"/>
      <c r="G46" s="190">
        <f>SUM(G45,G43)</f>
        <v>877447</v>
      </c>
      <c r="H46" s="190">
        <f>SUM(H45,H43)</f>
        <v>506484</v>
      </c>
      <c r="I46" s="190">
        <f>SUM(I45,I43)</f>
        <v>783135</v>
      </c>
      <c r="J46" s="186"/>
      <c r="K46" s="187"/>
      <c r="L46" s="170"/>
    </row>
    <row r="47" spans="1:12" s="188" customFormat="1" ht="18" customHeight="1" thickBot="1">
      <c r="A47" s="212" t="s">
        <v>180</v>
      </c>
      <c r="B47" s="952" t="s">
        <v>181</v>
      </c>
      <c r="C47" s="953"/>
      <c r="D47" s="953"/>
      <c r="E47" s="953"/>
      <c r="F47" s="954"/>
      <c r="G47" s="216">
        <f>'[3]2'!$F$56</f>
        <v>0</v>
      </c>
      <c r="H47" s="216">
        <v>1083514</v>
      </c>
      <c r="I47" s="216"/>
      <c r="J47" s="186"/>
      <c r="K47" s="187"/>
      <c r="L47" s="170"/>
    </row>
    <row r="48" spans="1:12" s="188" customFormat="1" ht="17.25" customHeight="1" thickBot="1">
      <c r="A48" s="214" t="s">
        <v>182</v>
      </c>
      <c r="B48" s="955" t="s">
        <v>183</v>
      </c>
      <c r="C48" s="956"/>
      <c r="D48" s="956"/>
      <c r="E48" s="956"/>
      <c r="F48" s="957"/>
      <c r="G48" s="218">
        <f>SUM(G47)</f>
        <v>0</v>
      </c>
      <c r="H48" s="218">
        <f>SUM(H47)</f>
        <v>1083514</v>
      </c>
      <c r="I48" s="218">
        <f>SUM(I47)</f>
        <v>0</v>
      </c>
      <c r="J48" s="186"/>
      <c r="K48" s="187"/>
      <c r="L48" s="170"/>
    </row>
    <row r="49" spans="1:9" ht="16.5" customHeight="1" thickBot="1">
      <c r="A49" s="215" t="s">
        <v>184</v>
      </c>
      <c r="B49" s="943" t="s">
        <v>185</v>
      </c>
      <c r="C49" s="944"/>
      <c r="D49" s="944"/>
      <c r="E49" s="944"/>
      <c r="F49" s="945"/>
      <c r="G49" s="194">
        <f>SUM(G48,G46)</f>
        <v>877447</v>
      </c>
      <c r="H49" s="194">
        <f>SUM(H48,H46)</f>
        <v>1589998</v>
      </c>
      <c r="I49" s="194">
        <f>SUM(I48,I46)</f>
        <v>783135</v>
      </c>
    </row>
    <row r="50" spans="1:9" ht="15">
      <c r="A50" s="213" t="s">
        <v>186</v>
      </c>
      <c r="B50" s="958" t="s">
        <v>187</v>
      </c>
      <c r="C50" s="959"/>
      <c r="D50" s="959"/>
      <c r="E50" s="959"/>
      <c r="F50" s="960"/>
      <c r="G50" s="178">
        <f>'[8]Kiadás'!$J$26</f>
        <v>0</v>
      </c>
      <c r="H50" s="191"/>
      <c r="I50" s="178">
        <v>200046</v>
      </c>
    </row>
    <row r="51" spans="1:9" ht="15">
      <c r="A51" s="214" t="s">
        <v>188</v>
      </c>
      <c r="B51" s="961" t="s">
        <v>189</v>
      </c>
      <c r="C51" s="962"/>
      <c r="D51" s="962"/>
      <c r="E51" s="962"/>
      <c r="F51" s="963"/>
      <c r="G51" s="178">
        <f>'[3]1'!$O$27</f>
        <v>833206</v>
      </c>
      <c r="H51" s="180">
        <f>1211540-900</f>
        <v>1210640</v>
      </c>
      <c r="I51" s="178">
        <v>521183</v>
      </c>
    </row>
    <row r="52" spans="1:9" ht="15">
      <c r="A52" s="213" t="s">
        <v>190</v>
      </c>
      <c r="B52" s="961" t="s">
        <v>191</v>
      </c>
      <c r="C52" s="962"/>
      <c r="D52" s="962"/>
      <c r="E52" s="962"/>
      <c r="F52" s="963"/>
      <c r="G52" s="178">
        <v>0</v>
      </c>
      <c r="H52" s="180"/>
      <c r="I52" s="178">
        <v>10</v>
      </c>
    </row>
    <row r="53" spans="1:9" ht="15">
      <c r="A53" s="214" t="s">
        <v>192</v>
      </c>
      <c r="B53" s="961" t="s">
        <v>141</v>
      </c>
      <c r="C53" s="962"/>
      <c r="D53" s="962"/>
      <c r="E53" s="962"/>
      <c r="F53" s="963"/>
      <c r="G53" s="178">
        <v>0</v>
      </c>
      <c r="H53" s="180"/>
      <c r="I53" s="178"/>
    </row>
    <row r="54" spans="1:9" ht="15">
      <c r="A54" s="213" t="s">
        <v>193</v>
      </c>
      <c r="B54" s="961" t="s">
        <v>145</v>
      </c>
      <c r="C54" s="962"/>
      <c r="D54" s="962"/>
      <c r="E54" s="962"/>
      <c r="F54" s="963"/>
      <c r="G54" s="178">
        <v>0</v>
      </c>
      <c r="H54" s="180"/>
      <c r="I54" s="178"/>
    </row>
    <row r="55" spans="1:9" ht="15.75" thickBot="1">
      <c r="A55" s="219" t="s">
        <v>194</v>
      </c>
      <c r="B55" s="949" t="s">
        <v>195</v>
      </c>
      <c r="C55" s="950"/>
      <c r="D55" s="950"/>
      <c r="E55" s="950"/>
      <c r="F55" s="951"/>
      <c r="G55" s="185">
        <f>'[3]1'!$O$31</f>
        <v>0</v>
      </c>
      <c r="H55" s="206">
        <v>900</v>
      </c>
      <c r="I55" s="185">
        <v>550</v>
      </c>
    </row>
    <row r="56" spans="1:9" ht="33" customHeight="1" thickBot="1">
      <c r="A56" s="220" t="s">
        <v>196</v>
      </c>
      <c r="B56" s="931" t="s">
        <v>197</v>
      </c>
      <c r="C56" s="932"/>
      <c r="D56" s="932"/>
      <c r="E56" s="932"/>
      <c r="F56" s="933"/>
      <c r="G56" s="183">
        <f>SUM(G50:G55)</f>
        <v>833206</v>
      </c>
      <c r="H56" s="183">
        <f>SUM(H50:H55)</f>
        <v>1211540</v>
      </c>
      <c r="I56" s="183">
        <f>SUM(I50:I55)</f>
        <v>721789</v>
      </c>
    </row>
    <row r="57" spans="1:9" ht="15.75" customHeight="1" thickBot="1">
      <c r="A57" s="221" t="s">
        <v>198</v>
      </c>
      <c r="B57" s="934" t="s">
        <v>153</v>
      </c>
      <c r="C57" s="935"/>
      <c r="D57" s="935"/>
      <c r="E57" s="935"/>
      <c r="F57" s="936"/>
      <c r="G57" s="185">
        <f>Kiadás!J32</f>
        <v>10000</v>
      </c>
      <c r="H57" s="222"/>
      <c r="I57" s="185"/>
    </row>
    <row r="58" spans="1:9" ht="16.5" customHeight="1" thickBot="1">
      <c r="A58" s="220" t="s">
        <v>199</v>
      </c>
      <c r="B58" s="931" t="s">
        <v>200</v>
      </c>
      <c r="C58" s="932"/>
      <c r="D58" s="932"/>
      <c r="E58" s="932"/>
      <c r="F58" s="933"/>
      <c r="G58" s="183">
        <f>SUM(G57)</f>
        <v>10000</v>
      </c>
      <c r="H58" s="183">
        <f>SUM(H57)</f>
        <v>0</v>
      </c>
      <c r="I58" s="183">
        <f>SUM(I57)</f>
        <v>0</v>
      </c>
    </row>
    <row r="59" spans="1:9" ht="15.75" customHeight="1" thickBot="1">
      <c r="A59" s="220" t="s">
        <v>201</v>
      </c>
      <c r="B59" s="927" t="s">
        <v>202</v>
      </c>
      <c r="C59" s="928"/>
      <c r="D59" s="928"/>
      <c r="E59" s="928"/>
      <c r="F59" s="929"/>
      <c r="G59" s="190">
        <f>SUM(G58,G56)</f>
        <v>843206</v>
      </c>
      <c r="H59" s="190">
        <f>SUM(H58,H56)</f>
        <v>1211540</v>
      </c>
      <c r="I59" s="190">
        <f>SUM(I58,I56)</f>
        <v>721789</v>
      </c>
    </row>
    <row r="60" spans="1:9" ht="15.75" customHeight="1" thickBot="1">
      <c r="A60" s="214" t="s">
        <v>203</v>
      </c>
      <c r="B60" s="937" t="s">
        <v>204</v>
      </c>
      <c r="C60" s="938"/>
      <c r="D60" s="938"/>
      <c r="E60" s="938"/>
      <c r="F60" s="939"/>
      <c r="G60" s="192">
        <f>'[3]1'!$O$36</f>
        <v>13380</v>
      </c>
      <c r="H60" s="192">
        <v>428633</v>
      </c>
      <c r="I60" s="178">
        <v>14226</v>
      </c>
    </row>
    <row r="61" spans="1:9" ht="15.75" customHeight="1" thickBot="1">
      <c r="A61" s="221" t="s">
        <v>205</v>
      </c>
      <c r="B61" s="940" t="s">
        <v>206</v>
      </c>
      <c r="C61" s="941"/>
      <c r="D61" s="941"/>
      <c r="E61" s="941"/>
      <c r="F61" s="942"/>
      <c r="G61" s="223">
        <f>SUM(G60)</f>
        <v>13380</v>
      </c>
      <c r="H61" s="223">
        <f>SUM(H60)</f>
        <v>428633</v>
      </c>
      <c r="I61" s="223">
        <f>SUM(I60)</f>
        <v>14226</v>
      </c>
    </row>
    <row r="62" spans="1:9" ht="16.5" customHeight="1" thickBot="1">
      <c r="A62" s="220" t="s">
        <v>207</v>
      </c>
      <c r="B62" s="943" t="s">
        <v>208</v>
      </c>
      <c r="C62" s="944"/>
      <c r="D62" s="944"/>
      <c r="E62" s="944"/>
      <c r="F62" s="945"/>
      <c r="G62" s="194">
        <f>SUM(G61,G59)</f>
        <v>856586</v>
      </c>
      <c r="H62" s="194">
        <f>SUM(H61,H59)</f>
        <v>1640173</v>
      </c>
      <c r="I62" s="194">
        <f>SUM(I61,I59)</f>
        <v>736015</v>
      </c>
    </row>
    <row r="63" spans="1:9" ht="17.25" customHeight="1" thickBot="1">
      <c r="A63" s="224" t="s">
        <v>209</v>
      </c>
      <c r="B63" s="946" t="s">
        <v>210</v>
      </c>
      <c r="C63" s="947"/>
      <c r="D63" s="947"/>
      <c r="E63" s="947"/>
      <c r="F63" s="948"/>
      <c r="G63" s="192">
        <f>SUM(G14,G43)</f>
        <v>1974445.541</v>
      </c>
      <c r="H63" s="192">
        <f>SUM(H14,H43)</f>
        <v>2781245</v>
      </c>
      <c r="I63" s="192">
        <f>SUM(I14,I43)</f>
        <v>2818052</v>
      </c>
    </row>
    <row r="64" spans="1:9" ht="16.5" customHeight="1" thickBot="1">
      <c r="A64" s="224" t="s">
        <v>211</v>
      </c>
      <c r="B64" s="946" t="s">
        <v>212</v>
      </c>
      <c r="C64" s="947"/>
      <c r="D64" s="947"/>
      <c r="E64" s="947"/>
      <c r="F64" s="948"/>
      <c r="G64" s="192">
        <f>SUM(G16,G45)</f>
        <v>766653</v>
      </c>
      <c r="H64" s="192">
        <f>SUM(H16,H45)</f>
        <v>111204</v>
      </c>
      <c r="I64" s="192">
        <f>SUM(I16,I45)</f>
        <v>468533</v>
      </c>
    </row>
    <row r="65" spans="1:9" ht="16.5" customHeight="1" thickBot="1">
      <c r="A65" s="224" t="s">
        <v>213</v>
      </c>
      <c r="B65" s="931" t="s">
        <v>214</v>
      </c>
      <c r="C65" s="932"/>
      <c r="D65" s="932"/>
      <c r="E65" s="932"/>
      <c r="F65" s="933"/>
      <c r="G65" s="216">
        <f>SUM(G20,G48)</f>
        <v>0</v>
      </c>
      <c r="H65" s="216">
        <f>SUM(H20,H48)</f>
        <v>1083514</v>
      </c>
      <c r="I65" s="216">
        <f>SUM(I20,I48)</f>
        <v>454550</v>
      </c>
    </row>
    <row r="66" spans="1:9" ht="16.5" customHeight="1" thickBot="1">
      <c r="A66" s="224" t="s">
        <v>215</v>
      </c>
      <c r="B66" s="931" t="s">
        <v>216</v>
      </c>
      <c r="C66" s="932"/>
      <c r="D66" s="932"/>
      <c r="E66" s="932"/>
      <c r="F66" s="933"/>
      <c r="G66" s="216"/>
      <c r="H66" s="216">
        <v>2349</v>
      </c>
      <c r="I66" s="216">
        <v>-74350</v>
      </c>
    </row>
    <row r="67" spans="1:9" ht="29.25" customHeight="1" thickBot="1">
      <c r="A67" s="224" t="s">
        <v>217</v>
      </c>
      <c r="B67" s="927" t="s">
        <v>218</v>
      </c>
      <c r="C67" s="928"/>
      <c r="D67" s="928"/>
      <c r="E67" s="928"/>
      <c r="F67" s="929"/>
      <c r="G67" s="190">
        <f>SUM(G63:G66)</f>
        <v>2741098.541</v>
      </c>
      <c r="H67" s="190">
        <f>SUM(H63:H66)</f>
        <v>3978312</v>
      </c>
      <c r="I67" s="190">
        <f>SUM(I63:I66)</f>
        <v>3666785</v>
      </c>
    </row>
    <row r="68" spans="1:9" ht="16.5" thickBot="1">
      <c r="A68" s="224" t="s">
        <v>219</v>
      </c>
      <c r="B68" s="930" t="s">
        <v>221</v>
      </c>
      <c r="C68" s="930"/>
      <c r="D68" s="930"/>
      <c r="E68" s="930"/>
      <c r="F68" s="930"/>
      <c r="G68" s="225">
        <f>SUM(G67:G67)</f>
        <v>2741098.541</v>
      </c>
      <c r="H68" s="225">
        <f>SUM(H67:H67)</f>
        <v>3978312</v>
      </c>
      <c r="I68" s="225">
        <f>SUM(I67:I67)</f>
        <v>3666785</v>
      </c>
    </row>
    <row r="69" spans="1:9" ht="16.5" customHeight="1" thickBot="1">
      <c r="A69" s="224" t="s">
        <v>220</v>
      </c>
      <c r="B69" s="931" t="s">
        <v>223</v>
      </c>
      <c r="C69" s="932"/>
      <c r="D69" s="932"/>
      <c r="E69" s="932"/>
      <c r="F69" s="933"/>
      <c r="G69" s="216">
        <f>SUM(G30,G56)</f>
        <v>2712719.337738</v>
      </c>
      <c r="H69" s="216">
        <f>SUM(H30,H56)</f>
        <v>3546483</v>
      </c>
      <c r="I69" s="216">
        <f>SUM(I30,I56)</f>
        <v>3003553</v>
      </c>
    </row>
    <row r="70" spans="1:9" ht="16.5" customHeight="1" thickBot="1">
      <c r="A70" s="224" t="s">
        <v>222</v>
      </c>
      <c r="B70" s="931" t="s">
        <v>225</v>
      </c>
      <c r="C70" s="932"/>
      <c r="D70" s="932"/>
      <c r="E70" s="932"/>
      <c r="F70" s="933"/>
      <c r="G70" s="216">
        <f>SUM(G32,G58)</f>
        <v>15000</v>
      </c>
      <c r="H70" s="216">
        <f>SUM(H32,H58)</f>
        <v>0</v>
      </c>
      <c r="I70" s="216">
        <f>SUM(I32,I58)</f>
        <v>0</v>
      </c>
    </row>
    <row r="71" spans="1:9" ht="16.5" customHeight="1" thickBot="1">
      <c r="A71" s="224" t="s">
        <v>224</v>
      </c>
      <c r="B71" s="931" t="s">
        <v>227</v>
      </c>
      <c r="C71" s="932"/>
      <c r="D71" s="932"/>
      <c r="E71" s="932"/>
      <c r="F71" s="933"/>
      <c r="G71" s="216">
        <f>SUM(G36,G61)</f>
        <v>13380</v>
      </c>
      <c r="H71" s="216">
        <f>SUM(H36,H61)</f>
        <v>428633</v>
      </c>
      <c r="I71" s="216">
        <f>SUM(I36,I61)</f>
        <v>14226</v>
      </c>
    </row>
    <row r="72" spans="1:9" ht="16.5" customHeight="1" thickBot="1">
      <c r="A72" s="224" t="s">
        <v>226</v>
      </c>
      <c r="B72" s="931" t="s">
        <v>229</v>
      </c>
      <c r="C72" s="932"/>
      <c r="D72" s="932"/>
      <c r="E72" s="932"/>
      <c r="F72" s="933"/>
      <c r="G72" s="216"/>
      <c r="H72" s="216"/>
      <c r="I72" s="216">
        <v>-56866</v>
      </c>
    </row>
    <row r="73" spans="1:9" ht="33" customHeight="1" thickBot="1">
      <c r="A73" s="224" t="s">
        <v>228</v>
      </c>
      <c r="B73" s="927" t="s">
        <v>231</v>
      </c>
      <c r="C73" s="928"/>
      <c r="D73" s="928"/>
      <c r="E73" s="928"/>
      <c r="F73" s="929"/>
      <c r="G73" s="190">
        <f>SUM(G69:G72)</f>
        <v>2741099.337738</v>
      </c>
      <c r="H73" s="190">
        <f>SUM(H69:H72)</f>
        <v>3975116</v>
      </c>
      <c r="I73" s="190">
        <f>SUM(I69:I72)</f>
        <v>2960913</v>
      </c>
    </row>
    <row r="74" spans="1:11" ht="16.5" thickBot="1">
      <c r="A74" s="224" t="s">
        <v>230</v>
      </c>
      <c r="B74" s="930" t="s">
        <v>232</v>
      </c>
      <c r="C74" s="930"/>
      <c r="D74" s="930"/>
      <c r="E74" s="930"/>
      <c r="F74" s="930"/>
      <c r="G74" s="226">
        <f>SUM(G73:G73)</f>
        <v>2741099.337738</v>
      </c>
      <c r="H74" s="226">
        <f>SUM(H73:H73)</f>
        <v>3975116</v>
      </c>
      <c r="I74" s="226">
        <f>SUM(I73:I73)</f>
        <v>2960913</v>
      </c>
      <c r="K74" s="170"/>
    </row>
    <row r="75" ht="12.75">
      <c r="D75" s="198"/>
    </row>
    <row r="76" spans="4:9" ht="12.75">
      <c r="D76" s="198"/>
      <c r="I76" s="198"/>
    </row>
    <row r="77" spans="4:11" ht="12.75">
      <c r="D77" s="198"/>
      <c r="G77" s="198"/>
      <c r="H77" s="198"/>
      <c r="I77" s="198"/>
      <c r="K77" s="170"/>
    </row>
    <row r="78" spans="7:9" ht="12.75">
      <c r="G78" s="198"/>
      <c r="H78" s="198"/>
      <c r="I78" s="198"/>
    </row>
    <row r="79" spans="7:9" ht="12.75">
      <c r="G79" s="198"/>
      <c r="I79" s="198"/>
    </row>
    <row r="81" ht="12.75">
      <c r="G81" s="198"/>
    </row>
    <row r="82" ht="12.75">
      <c r="G82" s="198"/>
    </row>
    <row r="83" ht="12.75">
      <c r="G83" s="198"/>
    </row>
    <row r="86" spans="6:7" ht="12.75">
      <c r="F86" t="s">
        <v>749</v>
      </c>
      <c r="G86" s="198">
        <f>SUM(G77+G81)</f>
        <v>0</v>
      </c>
    </row>
    <row r="87" spans="6:7" ht="12.75">
      <c r="F87" t="s">
        <v>750</v>
      </c>
      <c r="G87" s="198">
        <f>SUM(G78+G82)</f>
        <v>0</v>
      </c>
    </row>
  </sheetData>
  <sheetProtection/>
  <mergeCells count="75">
    <mergeCell ref="B16:F16"/>
    <mergeCell ref="B17:F17"/>
    <mergeCell ref="A1:I1"/>
    <mergeCell ref="A2:I2"/>
    <mergeCell ref="A3:I3"/>
    <mergeCell ref="G4:I4"/>
    <mergeCell ref="A5:F6"/>
    <mergeCell ref="G5:G6"/>
    <mergeCell ref="H5:H6"/>
    <mergeCell ref="I5:I6"/>
    <mergeCell ref="B18:F18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26:F26"/>
    <mergeCell ref="B27:F27"/>
    <mergeCell ref="B29:F29"/>
    <mergeCell ref="B30:F30"/>
    <mergeCell ref="B41:F41"/>
    <mergeCell ref="B42:F42"/>
    <mergeCell ref="B31:F31"/>
    <mergeCell ref="B19:F19"/>
    <mergeCell ref="B20:F20"/>
    <mergeCell ref="B21:F21"/>
    <mergeCell ref="B22:F22"/>
    <mergeCell ref="B23:F23"/>
    <mergeCell ref="B24:F24"/>
    <mergeCell ref="B25:F25"/>
    <mergeCell ref="B43:F43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51:F51"/>
    <mergeCell ref="B52:F52"/>
    <mergeCell ref="B53:F53"/>
    <mergeCell ref="B54:F54"/>
    <mergeCell ref="B65:F65"/>
    <mergeCell ref="B66:F66"/>
    <mergeCell ref="B55:F55"/>
    <mergeCell ref="B44:F44"/>
    <mergeCell ref="B45:F45"/>
    <mergeCell ref="B46:F46"/>
    <mergeCell ref="B47:F47"/>
    <mergeCell ref="B48:F48"/>
    <mergeCell ref="B49:F49"/>
    <mergeCell ref="B50:F50"/>
    <mergeCell ref="B67:F67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73:F73"/>
    <mergeCell ref="B74:F74"/>
    <mergeCell ref="B68:F68"/>
    <mergeCell ref="B69:F69"/>
    <mergeCell ref="B70:F70"/>
    <mergeCell ref="B71:F71"/>
    <mergeCell ref="B72:F72"/>
  </mergeCells>
  <printOptions horizontalCentered="1"/>
  <pageMargins left="0.24" right="0.24" top="0.61" bottom="0.63" header="0.27" footer="0.25"/>
  <pageSetup horizontalDpi="600" verticalDpi="600" orientation="portrait" paperSize="9" scale="90" r:id="rId1"/>
  <headerFooter alignWithMargins="0">
    <oddHeader>&amp;R2.a.sz.melléklet</oddHead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.375" style="228" customWidth="1"/>
    <col min="2" max="2" width="29.25390625" style="228" customWidth="1"/>
    <col min="3" max="3" width="9.25390625" style="228" customWidth="1"/>
    <col min="4" max="4" width="10.875" style="228" bestFit="1" customWidth="1"/>
    <col min="5" max="5" width="9.875" style="228" customWidth="1"/>
    <col min="6" max="6" width="9.75390625" style="228" bestFit="1" customWidth="1"/>
    <col min="7" max="7" width="11.00390625" style="229" customWidth="1"/>
    <col min="8" max="8" width="9.75390625" style="228" bestFit="1" customWidth="1"/>
    <col min="9" max="9" width="8.375" style="228" customWidth="1"/>
    <col min="10" max="10" width="13.75390625" style="228" bestFit="1" customWidth="1"/>
    <col min="11" max="11" width="13.125" style="228" bestFit="1" customWidth="1"/>
    <col min="12" max="12" width="11.625" style="228" customWidth="1"/>
    <col min="13" max="13" width="13.75390625" style="228" bestFit="1" customWidth="1"/>
    <col min="14" max="16384" width="9.125" style="228" customWidth="1"/>
  </cols>
  <sheetData>
    <row r="1" spans="1:13" ht="23.25">
      <c r="A1" s="998" t="s">
        <v>114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</row>
    <row r="2" ht="12.75">
      <c r="M2" s="230" t="s">
        <v>233</v>
      </c>
    </row>
    <row r="3" spans="2:13" ht="34.5" customHeight="1">
      <c r="B3" s="999" t="s">
        <v>234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</row>
    <row r="4" spans="2:47" ht="12.75" customHeight="1" thickBot="1">
      <c r="B4" s="229"/>
      <c r="C4" s="229"/>
      <c r="D4" s="229"/>
      <c r="E4" s="229"/>
      <c r="F4" s="229"/>
      <c r="H4" s="229"/>
      <c r="I4" s="229"/>
      <c r="J4" s="229"/>
      <c r="K4" s="229"/>
      <c r="L4" s="1000" t="s">
        <v>235</v>
      </c>
      <c r="M4" s="1000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2:47" s="231" customFormat="1" ht="60.75" customHeight="1" thickBot="1">
      <c r="B5" s="232" t="s">
        <v>0</v>
      </c>
      <c r="C5" s="233" t="s">
        <v>236</v>
      </c>
      <c r="D5" s="234" t="s">
        <v>237</v>
      </c>
      <c r="E5" s="234" t="s">
        <v>238</v>
      </c>
      <c r="F5" s="234" t="s">
        <v>239</v>
      </c>
      <c r="G5" s="234" t="s">
        <v>240</v>
      </c>
      <c r="H5" s="234" t="s">
        <v>241</v>
      </c>
      <c r="I5" s="234" t="s">
        <v>242</v>
      </c>
      <c r="J5" s="234" t="s">
        <v>243</v>
      </c>
      <c r="K5" s="234" t="s">
        <v>244</v>
      </c>
      <c r="L5" s="234" t="s">
        <v>245</v>
      </c>
      <c r="M5" s="235" t="s">
        <v>246</v>
      </c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</row>
    <row r="6" spans="2:47" s="237" customFormat="1" ht="13.5" customHeight="1">
      <c r="B6" s="238"/>
      <c r="C6" s="239"/>
      <c r="D6" s="240"/>
      <c r="E6" s="240"/>
      <c r="F6" s="241"/>
      <c r="G6" s="240"/>
      <c r="H6" s="241"/>
      <c r="I6" s="240"/>
      <c r="J6" s="241"/>
      <c r="K6" s="241"/>
      <c r="L6" s="240"/>
      <c r="M6" s="242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</row>
    <row r="7" spans="2:47" s="237" customFormat="1" ht="13.5" customHeight="1">
      <c r="B7" s="243" t="s">
        <v>247</v>
      </c>
      <c r="C7" s="244"/>
      <c r="D7" s="245">
        <f>'[9]önkormányzati tám'!$C$12/1000</f>
        <v>87947.26045</v>
      </c>
      <c r="E7" s="245">
        <v>0</v>
      </c>
      <c r="F7" s="241">
        <v>0</v>
      </c>
      <c r="G7" s="245">
        <v>51325</v>
      </c>
      <c r="H7" s="241">
        <f>+G7/D7</f>
        <v>0.5835883885113103</v>
      </c>
      <c r="I7" s="245">
        <v>0</v>
      </c>
      <c r="J7" s="241"/>
      <c r="K7" s="241">
        <f>(+E7+G7+I7)/D7</f>
        <v>0.5835883885113103</v>
      </c>
      <c r="L7" s="240">
        <f>+D7-E7-G7-I7</f>
        <v>36622.26045</v>
      </c>
      <c r="M7" s="242">
        <f>+L7/D7</f>
        <v>0.41641161148868966</v>
      </c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</row>
    <row r="8" spans="2:47" s="237" customFormat="1" ht="13.5" customHeight="1">
      <c r="B8" s="243" t="s">
        <v>248</v>
      </c>
      <c r="C8" s="244"/>
      <c r="D8" s="245">
        <f>4032+1086</f>
        <v>5118</v>
      </c>
      <c r="E8" s="245">
        <v>1350</v>
      </c>
      <c r="F8" s="241">
        <f>+E8/D8</f>
        <v>0.2637749120750293</v>
      </c>
      <c r="G8" s="245">
        <v>3501</v>
      </c>
      <c r="H8" s="241">
        <f>+G8/D8</f>
        <v>0.6840562719812426</v>
      </c>
      <c r="I8" s="245">
        <v>0</v>
      </c>
      <c r="J8" s="241"/>
      <c r="K8" s="241">
        <f>(+E8+G8+I8)/D8</f>
        <v>0.947831184056272</v>
      </c>
      <c r="L8" s="240">
        <f>+D8-E8-G8-I8</f>
        <v>267</v>
      </c>
      <c r="M8" s="242">
        <f>+L8/D8</f>
        <v>0.05216881594372802</v>
      </c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</row>
    <row r="9" spans="2:47" s="237" customFormat="1" ht="13.5" customHeight="1">
      <c r="B9" s="243" t="s">
        <v>249</v>
      </c>
      <c r="C9" s="244"/>
      <c r="D9" s="245">
        <v>64888</v>
      </c>
      <c r="E9" s="245">
        <v>4000</v>
      </c>
      <c r="F9" s="241">
        <f>+E9/D9</f>
        <v>0.06164468006411047</v>
      </c>
      <c r="G9" s="245">
        <v>31516</v>
      </c>
      <c r="H9" s="241">
        <f>+G9/D9</f>
        <v>0.4856984342251264</v>
      </c>
      <c r="I9" s="245"/>
      <c r="J9" s="241"/>
      <c r="K9" s="241">
        <f>(+E9+G9+I9)/D9</f>
        <v>0.5473431142892369</v>
      </c>
      <c r="L9" s="240">
        <f>+D9-E9-G9-I9</f>
        <v>29372</v>
      </c>
      <c r="M9" s="242">
        <f>+L9/D9</f>
        <v>0.4526568857107632</v>
      </c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</row>
    <row r="10" spans="2:47" s="237" customFormat="1" ht="13.5" customHeight="1">
      <c r="B10" s="246" t="s">
        <v>250</v>
      </c>
      <c r="C10" s="247"/>
      <c r="D10" s="248">
        <v>58349</v>
      </c>
      <c r="E10" s="248">
        <v>0</v>
      </c>
      <c r="F10" s="249">
        <f>+E10/D10</f>
        <v>0</v>
      </c>
      <c r="G10" s="248">
        <v>44235</v>
      </c>
      <c r="H10" s="249">
        <f>+G10/D10</f>
        <v>0.7581106788462527</v>
      </c>
      <c r="I10" s="248">
        <v>0</v>
      </c>
      <c r="J10" s="249"/>
      <c r="K10" s="249">
        <f>(+E10+G10+I10)/D10</f>
        <v>0.7581106788462527</v>
      </c>
      <c r="L10" s="250">
        <f>+D10-E10-G10-I10</f>
        <v>14114</v>
      </c>
      <c r="M10" s="251">
        <f>+L10/D10</f>
        <v>0.24188932115374728</v>
      </c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</row>
    <row r="11" spans="2:47" s="237" customFormat="1" ht="13.5" customHeight="1">
      <c r="B11" s="243" t="s">
        <v>251</v>
      </c>
      <c r="C11" s="244"/>
      <c r="D11" s="252">
        <v>9332</v>
      </c>
      <c r="E11" s="245">
        <v>0</v>
      </c>
      <c r="F11" s="253">
        <f>+E11/D11</f>
        <v>0</v>
      </c>
      <c r="G11" s="245">
        <v>0</v>
      </c>
      <c r="H11" s="253">
        <f>+G11/D11</f>
        <v>0</v>
      </c>
      <c r="I11" s="245">
        <v>0</v>
      </c>
      <c r="J11" s="253"/>
      <c r="K11" s="253">
        <f>(+E11+G11+I11)/D11</f>
        <v>0</v>
      </c>
      <c r="L11" s="245">
        <f>+D11-E11-G11-I11</f>
        <v>9332</v>
      </c>
      <c r="M11" s="254">
        <f>+L11/D11</f>
        <v>1</v>
      </c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</row>
    <row r="12" spans="2:47" s="237" customFormat="1" ht="13.5" customHeight="1">
      <c r="B12" s="243"/>
      <c r="C12" s="244"/>
      <c r="D12" s="245"/>
      <c r="E12" s="245"/>
      <c r="F12" s="253"/>
      <c r="G12" s="245"/>
      <c r="H12" s="253"/>
      <c r="I12" s="245"/>
      <c r="J12" s="253"/>
      <c r="K12" s="253"/>
      <c r="L12" s="245"/>
      <c r="M12" s="254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</row>
    <row r="13" spans="2:47" s="237" customFormat="1" ht="13.5" customHeight="1">
      <c r="B13" s="243"/>
      <c r="C13" s="244"/>
      <c r="D13" s="245"/>
      <c r="E13" s="245"/>
      <c r="F13" s="253"/>
      <c r="G13" s="245"/>
      <c r="H13" s="253"/>
      <c r="I13" s="245"/>
      <c r="J13" s="253"/>
      <c r="K13" s="253"/>
      <c r="L13" s="245"/>
      <c r="M13" s="254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</row>
    <row r="14" spans="2:47" ht="13.5" customHeight="1" thickBot="1">
      <c r="B14" s="255" t="s">
        <v>252</v>
      </c>
      <c r="C14" s="256"/>
      <c r="D14" s="257">
        <f>SUM(D7:D13)</f>
        <v>225634.26045</v>
      </c>
      <c r="E14" s="257">
        <f>SUM(E7:E13)</f>
        <v>5350</v>
      </c>
      <c r="F14" s="258"/>
      <c r="G14" s="257">
        <f>SUM(G7:G13)</f>
        <v>130577</v>
      </c>
      <c r="H14" s="257"/>
      <c r="I14" s="257">
        <f>SUM(I6:I11)</f>
        <v>0</v>
      </c>
      <c r="J14" s="257"/>
      <c r="K14" s="257"/>
      <c r="L14" s="257">
        <f>SUM(L7:L13)</f>
        <v>89707.26045</v>
      </c>
      <c r="M14" s="259"/>
      <c r="N14" s="229"/>
      <c r="O14" s="260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</row>
    <row r="15" spans="2:47" ht="12.75">
      <c r="B15" s="229"/>
      <c r="C15" s="229"/>
      <c r="D15" s="261"/>
      <c r="E15" s="229"/>
      <c r="F15" s="229"/>
      <c r="H15" s="229"/>
      <c r="I15" s="262"/>
      <c r="J15" s="263"/>
      <c r="K15" s="263"/>
      <c r="L15" s="261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</row>
    <row r="16" spans="2:47" s="264" customFormat="1" ht="13.5" customHeight="1">
      <c r="B16" s="265"/>
      <c r="C16" s="265"/>
      <c r="D16" s="261"/>
      <c r="E16" s="261"/>
      <c r="F16" s="266"/>
      <c r="G16" s="266"/>
      <c r="H16" s="266"/>
      <c r="I16" s="262"/>
      <c r="J16" s="263"/>
      <c r="K16" s="263"/>
      <c r="L16" s="261"/>
      <c r="M16" s="261"/>
      <c r="N16" s="261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</row>
    <row r="17" spans="2:47" s="264" customFormat="1" ht="12.75">
      <c r="B17" s="266"/>
      <c r="C17" s="266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</row>
    <row r="18" spans="2:47" s="264" customFormat="1" ht="12.75">
      <c r="B18" s="266"/>
      <c r="C18" s="266"/>
      <c r="D18" s="261"/>
      <c r="E18" s="266"/>
      <c r="F18" s="266"/>
      <c r="G18" s="266"/>
      <c r="H18" s="266"/>
      <c r="I18" s="262"/>
      <c r="J18" s="263"/>
      <c r="K18" s="263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</row>
    <row r="19" spans="3:11" s="264" customFormat="1" ht="12.75">
      <c r="C19" s="267"/>
      <c r="D19" s="267"/>
      <c r="G19" s="266"/>
      <c r="I19" s="262"/>
      <c r="J19" s="263"/>
      <c r="K19" s="263"/>
    </row>
    <row r="20" spans="4:13" s="264" customFormat="1" ht="12.75">
      <c r="D20" s="268"/>
      <c r="E20" s="268"/>
      <c r="F20" s="268"/>
      <c r="G20" s="269"/>
      <c r="H20" s="268"/>
      <c r="I20" s="268"/>
      <c r="J20" s="268"/>
      <c r="K20" s="268"/>
      <c r="L20" s="268"/>
      <c r="M20" s="268"/>
    </row>
    <row r="21" spans="4:13" s="264" customFormat="1" ht="12.75">
      <c r="D21" s="270"/>
      <c r="G21" s="266"/>
      <c r="I21" s="262"/>
      <c r="J21" s="263"/>
      <c r="K21" s="263"/>
      <c r="M21" s="271"/>
    </row>
    <row r="22" spans="4:13" s="264" customFormat="1" ht="12.75">
      <c r="D22" s="268"/>
      <c r="G22" s="266"/>
      <c r="I22" s="262"/>
      <c r="J22" s="263"/>
      <c r="K22" s="263"/>
      <c r="M22" s="271"/>
    </row>
    <row r="23" spans="4:11" ht="12.75">
      <c r="D23" s="267"/>
      <c r="I23" s="262"/>
      <c r="J23" s="263"/>
      <c r="K23" s="263"/>
    </row>
    <row r="24" spans="4:11" ht="12.75">
      <c r="D24" s="268"/>
      <c r="I24" s="262"/>
      <c r="J24" s="263"/>
      <c r="K24" s="263"/>
    </row>
    <row r="25" spans="9:11" ht="12.75">
      <c r="I25" s="262"/>
      <c r="J25" s="263"/>
      <c r="K25" s="263"/>
    </row>
    <row r="26" spans="4:11" ht="12.75">
      <c r="D26" s="267"/>
      <c r="I26" s="262"/>
      <c r="J26" s="263"/>
      <c r="K26" s="263"/>
    </row>
    <row r="27" spans="9:11" ht="12.75">
      <c r="I27" s="262"/>
      <c r="J27" s="263"/>
      <c r="K27" s="263"/>
    </row>
  </sheetData>
  <sheetProtection/>
  <mergeCells count="3">
    <mergeCell ref="A1:M1"/>
    <mergeCell ref="B3:M3"/>
    <mergeCell ref="L4:M4"/>
  </mergeCells>
  <printOptions horizontalCentered="1"/>
  <pageMargins left="0.2362204724409449" right="0.2755905511811024" top="0.7874015748031497" bottom="0.7480314960629921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5">
      <selection activeCell="H5" sqref="H5"/>
    </sheetView>
  </sheetViews>
  <sheetFormatPr defaultColWidth="9.00390625" defaultRowHeight="12.75"/>
  <cols>
    <col min="1" max="1" width="6.125" style="0" customWidth="1"/>
    <col min="2" max="2" width="50.75390625" style="0" customWidth="1"/>
    <col min="3" max="3" width="18.75390625" style="0" customWidth="1"/>
    <col min="4" max="4" width="20.75390625" style="0" customWidth="1"/>
    <col min="6" max="6" width="11.125" style="0" bestFit="1" customWidth="1"/>
    <col min="7" max="7" width="12.75390625" style="0" bestFit="1" customWidth="1"/>
    <col min="8" max="8" width="11.00390625" style="0" bestFit="1" customWidth="1"/>
  </cols>
  <sheetData>
    <row r="1" spans="1:4" ht="24.75" customHeight="1">
      <c r="A1" s="988" t="s">
        <v>253</v>
      </c>
      <c r="B1" s="988"/>
      <c r="C1" s="988"/>
      <c r="D1" s="988"/>
    </row>
    <row r="2" spans="1:4" ht="24.75" customHeight="1">
      <c r="A2" s="988" t="s">
        <v>254</v>
      </c>
      <c r="B2" s="988"/>
      <c r="C2" s="988"/>
      <c r="D2" s="988"/>
    </row>
    <row r="3" spans="1:4" ht="24.75" customHeight="1">
      <c r="A3" s="172"/>
      <c r="B3" s="172"/>
      <c r="C3" s="172"/>
      <c r="D3" s="172"/>
    </row>
    <row r="4" spans="1:4" ht="13.5" thickBot="1">
      <c r="A4" s="272"/>
      <c r="B4" s="272"/>
      <c r="C4" s="272"/>
      <c r="D4" s="273" t="s">
        <v>740</v>
      </c>
    </row>
    <row r="5" spans="1:4" ht="39" customHeight="1" thickBot="1">
      <c r="A5" s="1001" t="s">
        <v>0</v>
      </c>
      <c r="B5" s="1002"/>
      <c r="C5" s="176" t="s">
        <v>255</v>
      </c>
      <c r="D5" s="274" t="s">
        <v>256</v>
      </c>
    </row>
    <row r="6" spans="1:4" ht="13.5" thickBot="1">
      <c r="A6" s="1003">
        <v>1</v>
      </c>
      <c r="B6" s="1004"/>
      <c r="C6" s="275">
        <v>2</v>
      </c>
      <c r="D6" s="276">
        <v>3</v>
      </c>
    </row>
    <row r="7" spans="1:4" ht="12.75">
      <c r="A7" s="277">
        <v>1</v>
      </c>
      <c r="B7" s="278" t="s">
        <v>257</v>
      </c>
      <c r="C7" s="279">
        <v>15371</v>
      </c>
      <c r="D7" s="280">
        <v>62621454</v>
      </c>
    </row>
    <row r="8" spans="1:4" ht="12.75">
      <c r="A8" s="277"/>
      <c r="B8" s="278" t="s">
        <v>258</v>
      </c>
      <c r="C8" s="279"/>
      <c r="D8" s="280">
        <f>3000000+7531212+11525800</f>
        <v>22057012</v>
      </c>
    </row>
    <row r="9" spans="1:4" ht="12.75">
      <c r="A9" s="277"/>
      <c r="B9" s="278" t="s">
        <v>259</v>
      </c>
      <c r="C9" s="281"/>
      <c r="D9" s="280">
        <v>1919820</v>
      </c>
    </row>
    <row r="10" spans="1:4" ht="12.75">
      <c r="A10" s="277"/>
      <c r="B10" s="278" t="s">
        <v>260</v>
      </c>
      <c r="C10" s="281"/>
      <c r="D10" s="280">
        <f>1067472+2759253</f>
        <v>3826725</v>
      </c>
    </row>
    <row r="11" spans="1:4" ht="13.5" thickBot="1">
      <c r="A11" s="277"/>
      <c r="B11" s="278"/>
      <c r="C11" s="279"/>
      <c r="D11" s="280">
        <v>0</v>
      </c>
    </row>
    <row r="12" spans="1:4" ht="13.5" thickBot="1">
      <c r="A12" s="277">
        <v>2</v>
      </c>
      <c r="B12" s="282" t="s">
        <v>261</v>
      </c>
      <c r="C12" s="283"/>
      <c r="D12" s="284">
        <f>SUM(D7:D11)</f>
        <v>90425011</v>
      </c>
    </row>
    <row r="13" spans="1:4" ht="12.75">
      <c r="A13" s="277"/>
      <c r="B13" s="278" t="s">
        <v>262</v>
      </c>
      <c r="C13" s="281"/>
      <c r="D13" s="280">
        <v>97649576</v>
      </c>
    </row>
    <row r="14" spans="1:4" ht="13.5" thickBot="1">
      <c r="A14" s="277"/>
      <c r="B14" s="278" t="s">
        <v>263</v>
      </c>
      <c r="C14" s="279"/>
      <c r="D14" s="280">
        <v>13834800</v>
      </c>
    </row>
    <row r="15" spans="1:4" ht="13.5" thickBot="1">
      <c r="A15" s="285"/>
      <c r="B15" s="286" t="s">
        <v>264</v>
      </c>
      <c r="C15" s="287"/>
      <c r="D15" s="284">
        <f>SUM(D13:D14)</f>
        <v>111484376</v>
      </c>
    </row>
    <row r="16" spans="1:4" ht="12.75">
      <c r="A16" s="277"/>
      <c r="B16" s="278" t="s">
        <v>265</v>
      </c>
      <c r="C16" s="279"/>
      <c r="D16" s="280">
        <f>69873333+34936667</f>
        <v>104810000</v>
      </c>
    </row>
    <row r="17" spans="1:4" ht="12.75">
      <c r="A17" s="277"/>
      <c r="B17" s="278" t="s">
        <v>266</v>
      </c>
      <c r="C17" s="279"/>
      <c r="D17" s="280">
        <f>33370000+15823333+21306667+39323333+36346667+15980000+8303333+9008333+20288333+20601667</f>
        <v>220351666</v>
      </c>
    </row>
    <row r="18" spans="1:4" ht="12.75">
      <c r="A18" s="277"/>
      <c r="B18" s="278" t="s">
        <v>267</v>
      </c>
      <c r="C18" s="279"/>
      <c r="D18" s="280">
        <f>13316667+17860000+6423333+9086667</f>
        <v>46686667</v>
      </c>
    </row>
    <row r="19" spans="1:4" ht="12.75">
      <c r="A19" s="277"/>
      <c r="B19" s="278" t="s">
        <v>268</v>
      </c>
      <c r="C19" s="279"/>
      <c r="D19" s="280">
        <f>20523333+2663333+10261667+1331667</f>
        <v>34780000</v>
      </c>
    </row>
    <row r="20" spans="1:4" ht="12.75">
      <c r="A20" s="277"/>
      <c r="B20" s="278" t="s">
        <v>269</v>
      </c>
      <c r="C20" s="281"/>
      <c r="D20" s="280">
        <f>2663333+470000+6423333+1331667+313333+3211667</f>
        <v>14413333</v>
      </c>
    </row>
    <row r="21" spans="1:4" ht="12.75">
      <c r="A21" s="277"/>
      <c r="B21" s="278" t="s">
        <v>270</v>
      </c>
      <c r="C21" s="279"/>
      <c r="D21" s="280">
        <f>298667+74667+3584000+1314133+7406933+3643733+3449600+1463467</f>
        <v>21235200</v>
      </c>
    </row>
    <row r="22" spans="1:4" ht="12.75">
      <c r="A22" s="277"/>
      <c r="B22" s="288" t="s">
        <v>271</v>
      </c>
      <c r="C22" s="289"/>
      <c r="D22" s="290">
        <f>810667+533333</f>
        <v>1344000</v>
      </c>
    </row>
    <row r="23" spans="1:4" ht="12.75">
      <c r="A23" s="277"/>
      <c r="B23" s="278" t="s">
        <v>272</v>
      </c>
      <c r="C23" s="279"/>
      <c r="D23" s="280">
        <v>300000</v>
      </c>
    </row>
    <row r="24" spans="1:4" ht="12.75">
      <c r="A24" s="277"/>
      <c r="B24" s="278" t="s">
        <v>267</v>
      </c>
      <c r="C24" s="279"/>
      <c r="D24" s="280">
        <f>642600+316200</f>
        <v>958800</v>
      </c>
    </row>
    <row r="25" spans="1:6" ht="12.75">
      <c r="A25" s="277"/>
      <c r="B25" s="278" t="s">
        <v>273</v>
      </c>
      <c r="C25" s="279"/>
      <c r="D25" s="280">
        <v>12000000</v>
      </c>
      <c r="F25" s="198"/>
    </row>
    <row r="26" spans="1:4" ht="12.75">
      <c r="A26" s="277"/>
      <c r="B26" s="278" t="s">
        <v>274</v>
      </c>
      <c r="C26" s="281"/>
      <c r="D26" s="280">
        <f>848400+432600</f>
        <v>1281000</v>
      </c>
    </row>
    <row r="27" spans="1:4" ht="12.75">
      <c r="A27" s="277"/>
      <c r="B27" s="291" t="s">
        <v>275</v>
      </c>
      <c r="C27" s="289"/>
      <c r="D27" s="280">
        <f>1594667+754000+910000+476667</f>
        <v>3735334</v>
      </c>
    </row>
    <row r="28" spans="1:4" ht="12.75">
      <c r="A28" s="277"/>
      <c r="B28" s="278" t="s">
        <v>276</v>
      </c>
      <c r="C28" s="279"/>
      <c r="D28" s="280">
        <v>48144000</v>
      </c>
    </row>
    <row r="29" spans="1:4" ht="12.75">
      <c r="A29" s="277"/>
      <c r="B29" s="278" t="s">
        <v>277</v>
      </c>
      <c r="C29" s="279"/>
      <c r="D29" s="280">
        <v>10992000</v>
      </c>
    </row>
    <row r="30" spans="1:7" ht="13.5" thickBot="1">
      <c r="A30" s="277"/>
      <c r="B30" s="278" t="s">
        <v>278</v>
      </c>
      <c r="C30" s="279"/>
      <c r="D30" s="280">
        <f>1919167+967750</f>
        <v>2886917</v>
      </c>
      <c r="G30" s="198"/>
    </row>
    <row r="31" spans="1:4" ht="13.5" thickBot="1">
      <c r="A31" s="292"/>
      <c r="B31" s="282" t="s">
        <v>279</v>
      </c>
      <c r="C31" s="293"/>
      <c r="D31" s="294">
        <f>SUM(D16:D30)</f>
        <v>523918917</v>
      </c>
    </row>
    <row r="32" spans="1:7" ht="26.25" thickBot="1">
      <c r="A32" s="295" t="s">
        <v>6</v>
      </c>
      <c r="B32" s="296" t="s">
        <v>280</v>
      </c>
      <c r="C32" s="293"/>
      <c r="D32" s="294">
        <f>D12+D15+D31</f>
        <v>725828304</v>
      </c>
      <c r="G32" s="198"/>
    </row>
    <row r="34" ht="13.5" thickBot="1"/>
    <row r="35" spans="1:4" ht="12.75">
      <c r="A35" s="836"/>
      <c r="B35" s="837" t="s">
        <v>734</v>
      </c>
      <c r="C35" s="837"/>
      <c r="D35" s="838">
        <v>92015360</v>
      </c>
    </row>
    <row r="36" spans="1:7" ht="13.5" thickBot="1">
      <c r="A36" s="665"/>
      <c r="B36" s="839" t="s">
        <v>735</v>
      </c>
      <c r="C36" s="839"/>
      <c r="D36" s="840">
        <v>433947850</v>
      </c>
      <c r="G36" s="198"/>
    </row>
    <row r="37" spans="1:4" ht="13.5" thickBot="1">
      <c r="A37" s="841"/>
      <c r="B37" s="842" t="s">
        <v>736</v>
      </c>
      <c r="C37" s="842"/>
      <c r="D37" s="843">
        <f>D35+D36</f>
        <v>525963210</v>
      </c>
    </row>
    <row r="39" ht="12.75">
      <c r="D39" s="198"/>
    </row>
  </sheetData>
  <sheetProtection/>
  <mergeCells count="4">
    <mergeCell ref="A1:D1"/>
    <mergeCell ref="A2:D2"/>
    <mergeCell ref="A5:B5"/>
    <mergeCell ref="A6:B6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&amp;R5. 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.00390625" style="2" customWidth="1"/>
    <col min="2" max="2" width="55.375" style="2" customWidth="1"/>
    <col min="3" max="3" width="10.25390625" style="2" bestFit="1" customWidth="1"/>
    <col min="4" max="4" width="7.875" style="2" bestFit="1" customWidth="1"/>
    <col min="5" max="5" width="10.25390625" style="2" bestFit="1" customWidth="1"/>
    <col min="6" max="6" width="7.875" style="2" bestFit="1" customWidth="1"/>
    <col min="7" max="7" width="10.25390625" style="2" bestFit="1" customWidth="1"/>
    <col min="8" max="8" width="7.875" style="2" bestFit="1" customWidth="1"/>
    <col min="9" max="9" width="10.25390625" style="2" bestFit="1" customWidth="1"/>
    <col min="10" max="10" width="10.375" style="2" bestFit="1" customWidth="1"/>
    <col min="11" max="16384" width="9.125" style="2" customWidth="1"/>
  </cols>
  <sheetData>
    <row r="1" spans="1:10" ht="24.75" customHeight="1">
      <c r="A1" s="1006" t="s">
        <v>281</v>
      </c>
      <c r="B1" s="1006"/>
      <c r="C1" s="1006"/>
      <c r="D1" s="1006"/>
      <c r="E1" s="1006"/>
      <c r="F1" s="1006"/>
      <c r="G1" s="1006"/>
      <c r="H1" s="1006"/>
      <c r="I1" s="1006"/>
      <c r="J1" s="1006"/>
    </row>
    <row r="2" spans="1:10" ht="24.75" customHeight="1">
      <c r="A2" s="1006" t="s">
        <v>282</v>
      </c>
      <c r="B2" s="1006"/>
      <c r="C2" s="1006"/>
      <c r="D2" s="1006"/>
      <c r="E2" s="1006"/>
      <c r="F2" s="1006"/>
      <c r="G2" s="1006"/>
      <c r="H2" s="1006"/>
      <c r="I2" s="1006"/>
      <c r="J2" s="1006"/>
    </row>
    <row r="3" spans="1:10" ht="24.75" customHeight="1">
      <c r="A3" s="1006" t="s">
        <v>283</v>
      </c>
      <c r="B3" s="1006"/>
      <c r="C3" s="1006"/>
      <c r="D3" s="1006"/>
      <c r="E3" s="1006"/>
      <c r="F3" s="1006"/>
      <c r="G3" s="1006"/>
      <c r="H3" s="1006"/>
      <c r="I3" s="1006"/>
      <c r="J3" s="1006"/>
    </row>
    <row r="4" spans="1:10" ht="24.75" customHeight="1" thickBot="1">
      <c r="A4" s="297"/>
      <c r="B4" s="297"/>
      <c r="C4" s="297"/>
      <c r="D4" s="297"/>
      <c r="E4" s="297"/>
      <c r="F4" s="297"/>
      <c r="I4" s="1007" t="s">
        <v>284</v>
      </c>
      <c r="J4" s="1007"/>
    </row>
    <row r="5" spans="1:10" ht="55.5" customHeight="1" thickBot="1">
      <c r="A5" s="1008" t="s">
        <v>0</v>
      </c>
      <c r="B5" s="1009"/>
      <c r="C5" s="1012" t="s">
        <v>72</v>
      </c>
      <c r="D5" s="1013"/>
      <c r="E5" s="1014" t="s">
        <v>285</v>
      </c>
      <c r="F5" s="1015"/>
      <c r="G5" s="1012" t="s">
        <v>74</v>
      </c>
      <c r="H5" s="1013"/>
      <c r="I5" s="1002" t="s">
        <v>79</v>
      </c>
      <c r="J5" s="1016"/>
    </row>
    <row r="6" spans="1:10" ht="24" customHeight="1" thickBot="1">
      <c r="A6" s="1010"/>
      <c r="B6" s="1011"/>
      <c r="C6" s="176" t="s">
        <v>80</v>
      </c>
      <c r="D6" s="176" t="s">
        <v>81</v>
      </c>
      <c r="E6" s="176" t="s">
        <v>80</v>
      </c>
      <c r="F6" s="176" t="s">
        <v>81</v>
      </c>
      <c r="G6" s="298" t="s">
        <v>80</v>
      </c>
      <c r="H6" s="173" t="s">
        <v>81</v>
      </c>
      <c r="I6" s="176" t="s">
        <v>80</v>
      </c>
      <c r="J6" s="176" t="s">
        <v>81</v>
      </c>
    </row>
    <row r="7" spans="1:10" ht="15" customHeight="1" thickBot="1">
      <c r="A7" s="1005">
        <v>1</v>
      </c>
      <c r="B7" s="1005"/>
      <c r="C7" s="299">
        <v>2</v>
      </c>
      <c r="D7" s="299">
        <v>3</v>
      </c>
      <c r="E7" s="299">
        <v>4</v>
      </c>
      <c r="F7" s="300">
        <v>5</v>
      </c>
      <c r="G7" s="301"/>
      <c r="H7" s="302"/>
      <c r="I7" s="303">
        <v>6</v>
      </c>
      <c r="J7" s="304">
        <v>7</v>
      </c>
    </row>
    <row r="8" spans="1:10" ht="15" customHeight="1">
      <c r="A8" s="305"/>
      <c r="B8" s="306" t="s">
        <v>286</v>
      </c>
      <c r="C8" s="307">
        <v>0</v>
      </c>
      <c r="D8" s="307"/>
      <c r="E8" s="308"/>
      <c r="F8" s="309"/>
      <c r="G8" s="310"/>
      <c r="H8" s="311"/>
      <c r="I8" s="307"/>
      <c r="J8" s="312"/>
    </row>
    <row r="9" spans="1:10" ht="15" customHeight="1">
      <c r="A9" s="313"/>
      <c r="B9" s="69" t="s">
        <v>287</v>
      </c>
      <c r="C9" s="314"/>
      <c r="D9" s="315"/>
      <c r="E9" s="316"/>
      <c r="F9" s="315"/>
      <c r="G9" s="317"/>
      <c r="H9" s="318"/>
      <c r="I9" s="314"/>
      <c r="J9" s="312"/>
    </row>
    <row r="10" spans="1:10" ht="15" customHeight="1">
      <c r="A10" s="313"/>
      <c r="B10" s="69" t="s">
        <v>288</v>
      </c>
      <c r="C10" s="314"/>
      <c r="D10" s="315"/>
      <c r="E10" s="316"/>
      <c r="F10" s="315"/>
      <c r="G10" s="317"/>
      <c r="H10" s="318"/>
      <c r="I10" s="314"/>
      <c r="J10" s="312"/>
    </row>
    <row r="11" spans="1:10" ht="15" customHeight="1">
      <c r="A11" s="313"/>
      <c r="B11" s="69" t="s">
        <v>289</v>
      </c>
      <c r="C11" s="314">
        <v>129809</v>
      </c>
      <c r="D11" s="315"/>
      <c r="E11" s="316"/>
      <c r="F11" s="315"/>
      <c r="G11" s="317"/>
      <c r="H11" s="318"/>
      <c r="I11" s="314">
        <f>+E11+C11+G11</f>
        <v>129809</v>
      </c>
      <c r="J11" s="312"/>
    </row>
    <row r="12" spans="1:10" ht="15" customHeight="1">
      <c r="A12" s="319"/>
      <c r="B12" s="69" t="s">
        <v>290</v>
      </c>
      <c r="C12" s="314"/>
      <c r="D12" s="315"/>
      <c r="E12" s="316"/>
      <c r="F12" s="315"/>
      <c r="G12" s="317"/>
      <c r="H12" s="318"/>
      <c r="I12" s="314"/>
      <c r="J12" s="312"/>
    </row>
    <row r="13" spans="1:10" ht="24">
      <c r="A13" s="320"/>
      <c r="B13" s="321" t="s">
        <v>291</v>
      </c>
      <c r="C13" s="314"/>
      <c r="D13" s="314"/>
      <c r="E13" s="322"/>
      <c r="F13" s="314"/>
      <c r="G13" s="317"/>
      <c r="H13" s="318"/>
      <c r="I13" s="314"/>
      <c r="J13" s="312"/>
    </row>
    <row r="14" spans="1:10" ht="15" customHeight="1">
      <c r="A14" s="305"/>
      <c r="B14" s="321" t="s">
        <v>292</v>
      </c>
      <c r="C14" s="314"/>
      <c r="D14" s="314"/>
      <c r="E14" s="322"/>
      <c r="F14" s="314"/>
      <c r="G14" s="317"/>
      <c r="H14" s="318"/>
      <c r="I14" s="314"/>
      <c r="J14" s="312"/>
    </row>
    <row r="15" spans="1:10" ht="15" customHeight="1">
      <c r="A15" s="313"/>
      <c r="B15" s="321" t="s">
        <v>293</v>
      </c>
      <c r="C15" s="314"/>
      <c r="D15" s="315"/>
      <c r="E15" s="316"/>
      <c r="F15" s="315"/>
      <c r="G15" s="317"/>
      <c r="H15" s="318"/>
      <c r="I15" s="314"/>
      <c r="J15" s="312"/>
    </row>
    <row r="16" spans="1:10" ht="15" customHeight="1">
      <c r="A16" s="313"/>
      <c r="B16" s="321" t="s">
        <v>294</v>
      </c>
      <c r="C16" s="314"/>
      <c r="D16" s="315"/>
      <c r="E16" s="316"/>
      <c r="F16" s="315"/>
      <c r="G16" s="317"/>
      <c r="H16" s="318"/>
      <c r="I16" s="314"/>
      <c r="J16" s="312"/>
    </row>
    <row r="17" spans="1:10" ht="15" customHeight="1">
      <c r="A17" s="313"/>
      <c r="B17" s="69" t="s">
        <v>295</v>
      </c>
      <c r="C17" s="314"/>
      <c r="D17" s="315"/>
      <c r="E17" s="316"/>
      <c r="F17" s="315"/>
      <c r="G17" s="317"/>
      <c r="H17" s="318"/>
      <c r="I17" s="314"/>
      <c r="J17" s="312"/>
    </row>
    <row r="18" spans="1:10" ht="15" customHeight="1">
      <c r="A18" s="320"/>
      <c r="B18" s="70" t="s">
        <v>296</v>
      </c>
      <c r="C18" s="323"/>
      <c r="D18" s="323"/>
      <c r="E18" s="324"/>
      <c r="F18" s="323"/>
      <c r="G18" s="317"/>
      <c r="H18" s="318"/>
      <c r="I18" s="314"/>
      <c r="J18" s="312"/>
    </row>
    <row r="19" spans="1:10" ht="15" customHeight="1" thickBot="1">
      <c r="A19" s="313"/>
      <c r="B19" s="325" t="s">
        <v>297</v>
      </c>
      <c r="C19" s="326"/>
      <c r="D19" s="326"/>
      <c r="E19" s="322"/>
      <c r="F19" s="323"/>
      <c r="G19" s="327"/>
      <c r="H19" s="328"/>
      <c r="I19" s="312"/>
      <c r="J19" s="312"/>
    </row>
    <row r="20" spans="1:10" ht="19.5" customHeight="1" thickBot="1">
      <c r="A20" s="329" t="s">
        <v>6</v>
      </c>
      <c r="B20" s="67" t="s">
        <v>298</v>
      </c>
      <c r="C20" s="330">
        <f aca="true" t="shared" si="0" ref="C20:I20">SUM(C8:C19)</f>
        <v>129809</v>
      </c>
      <c r="D20" s="330">
        <f t="shared" si="0"/>
        <v>0</v>
      </c>
      <c r="E20" s="330">
        <f t="shared" si="0"/>
        <v>0</v>
      </c>
      <c r="F20" s="330">
        <f t="shared" si="0"/>
        <v>0</v>
      </c>
      <c r="G20" s="331">
        <f t="shared" si="0"/>
        <v>0</v>
      </c>
      <c r="H20" s="330">
        <f t="shared" si="0"/>
        <v>0</v>
      </c>
      <c r="I20" s="332">
        <f t="shared" si="0"/>
        <v>129809</v>
      </c>
      <c r="J20" s="330">
        <f>SUM(D20,F20)</f>
        <v>0</v>
      </c>
    </row>
    <row r="21" spans="1:10" ht="15" customHeight="1">
      <c r="A21" s="68"/>
      <c r="B21" s="68" t="s">
        <v>299</v>
      </c>
      <c r="C21" s="333"/>
      <c r="D21" s="333"/>
      <c r="E21" s="333"/>
      <c r="F21" s="315"/>
      <c r="G21" s="334"/>
      <c r="H21" s="311"/>
      <c r="I21" s="312"/>
      <c r="J21" s="315"/>
    </row>
    <row r="22" spans="1:10" ht="15" customHeight="1">
      <c r="A22" s="69"/>
      <c r="B22" s="69" t="s">
        <v>300</v>
      </c>
      <c r="C22" s="335"/>
      <c r="D22" s="333"/>
      <c r="E22" s="333"/>
      <c r="F22" s="315"/>
      <c r="G22" s="317"/>
      <c r="H22" s="318"/>
      <c r="I22" s="312"/>
      <c r="J22" s="315"/>
    </row>
    <row r="23" spans="1:10" ht="15" customHeight="1">
      <c r="A23" s="69"/>
      <c r="B23" s="69" t="s">
        <v>301</v>
      </c>
      <c r="C23" s="335"/>
      <c r="D23" s="333"/>
      <c r="E23" s="333"/>
      <c r="F23" s="315"/>
      <c r="G23" s="317"/>
      <c r="H23" s="318"/>
      <c r="I23" s="312"/>
      <c r="J23" s="315"/>
    </row>
    <row r="24" spans="1:10" ht="15" customHeight="1">
      <c r="A24" s="69"/>
      <c r="B24" s="69" t="s">
        <v>302</v>
      </c>
      <c r="C24" s="335"/>
      <c r="D24" s="333"/>
      <c r="E24" s="333"/>
      <c r="F24" s="315"/>
      <c r="G24" s="317"/>
      <c r="H24" s="318"/>
      <c r="I24" s="312"/>
      <c r="J24" s="315"/>
    </row>
    <row r="25" spans="1:10" ht="24">
      <c r="A25" s="70"/>
      <c r="B25" s="321" t="s">
        <v>303</v>
      </c>
      <c r="C25" s="335"/>
      <c r="D25" s="335"/>
      <c r="E25" s="335"/>
      <c r="F25" s="314"/>
      <c r="G25" s="317"/>
      <c r="H25" s="318"/>
      <c r="I25" s="336"/>
      <c r="J25" s="315"/>
    </row>
    <row r="26" spans="1:10" ht="14.25">
      <c r="A26" s="69"/>
      <c r="B26" s="337" t="s">
        <v>304</v>
      </c>
      <c r="C26" s="333"/>
      <c r="D26" s="333"/>
      <c r="E26" s="333"/>
      <c r="F26" s="315"/>
      <c r="G26" s="317"/>
      <c r="H26" s="318"/>
      <c r="I26" s="312"/>
      <c r="J26" s="315"/>
    </row>
    <row r="27" spans="1:10" ht="15" customHeight="1" thickBot="1">
      <c r="A27" s="70"/>
      <c r="B27" s="70" t="s">
        <v>305</v>
      </c>
      <c r="C27" s="338"/>
      <c r="D27" s="339"/>
      <c r="E27" s="339"/>
      <c r="F27" s="340"/>
      <c r="G27" s="327"/>
      <c r="H27" s="328"/>
      <c r="I27" s="312"/>
      <c r="J27" s="315"/>
    </row>
    <row r="28" spans="1:10" ht="19.5" customHeight="1" thickBot="1">
      <c r="A28" s="329" t="s">
        <v>7</v>
      </c>
      <c r="B28" s="67" t="s">
        <v>306</v>
      </c>
      <c r="C28" s="330">
        <f aca="true" t="shared" si="1" ref="C28:I28">SUM(C21:C27)</f>
        <v>0</v>
      </c>
      <c r="D28" s="330">
        <f t="shared" si="1"/>
        <v>0</v>
      </c>
      <c r="E28" s="330">
        <f t="shared" si="1"/>
        <v>0</v>
      </c>
      <c r="F28" s="330">
        <f t="shared" si="1"/>
        <v>0</v>
      </c>
      <c r="G28" s="331">
        <f t="shared" si="1"/>
        <v>0</v>
      </c>
      <c r="H28" s="330">
        <f t="shared" si="1"/>
        <v>0</v>
      </c>
      <c r="I28" s="332">
        <f t="shared" si="1"/>
        <v>0</v>
      </c>
      <c r="J28" s="330">
        <f aca="true" t="shared" si="2" ref="J28:J33">SUM(D28,F28)</f>
        <v>0</v>
      </c>
    </row>
    <row r="29" spans="1:10" ht="15" customHeight="1">
      <c r="A29" s="341"/>
      <c r="B29" s="68" t="s">
        <v>307</v>
      </c>
      <c r="C29" s="333"/>
      <c r="D29" s="333"/>
      <c r="E29" s="333"/>
      <c r="F29" s="315"/>
      <c r="G29" s="334"/>
      <c r="H29" s="311"/>
      <c r="I29" s="312"/>
      <c r="J29" s="315"/>
    </row>
    <row r="30" spans="1:10" ht="15" customHeight="1">
      <c r="A30" s="342"/>
      <c r="B30" s="69" t="s">
        <v>308</v>
      </c>
      <c r="C30" s="335"/>
      <c r="D30" s="333"/>
      <c r="E30" s="333"/>
      <c r="F30" s="315"/>
      <c r="G30" s="317"/>
      <c r="H30" s="318"/>
      <c r="I30" s="336"/>
      <c r="J30" s="314"/>
    </row>
    <row r="31" spans="1:10" ht="15" customHeight="1" thickBot="1">
      <c r="A31" s="343"/>
      <c r="B31" s="70" t="s">
        <v>309</v>
      </c>
      <c r="C31" s="338"/>
      <c r="D31" s="339"/>
      <c r="E31" s="339"/>
      <c r="F31" s="340"/>
      <c r="G31" s="327"/>
      <c r="H31" s="328"/>
      <c r="I31" s="344"/>
      <c r="J31" s="323"/>
    </row>
    <row r="32" spans="1:10" s="3" customFormat="1" ht="19.5" customHeight="1" thickBot="1">
      <c r="A32" s="329" t="s">
        <v>8</v>
      </c>
      <c r="B32" s="67" t="s">
        <v>310</v>
      </c>
      <c r="C32" s="345">
        <f aca="true" t="shared" si="3" ref="C32:I32">SUM(C29:C31)</f>
        <v>0</v>
      </c>
      <c r="D32" s="345">
        <f t="shared" si="3"/>
        <v>0</v>
      </c>
      <c r="E32" s="345">
        <f t="shared" si="3"/>
        <v>0</v>
      </c>
      <c r="F32" s="330">
        <f t="shared" si="3"/>
        <v>0</v>
      </c>
      <c r="G32" s="331">
        <f t="shared" si="3"/>
        <v>0</v>
      </c>
      <c r="H32" s="330">
        <f t="shared" si="3"/>
        <v>0</v>
      </c>
      <c r="I32" s="332">
        <f t="shared" si="3"/>
        <v>0</v>
      </c>
      <c r="J32" s="330">
        <f t="shared" si="2"/>
        <v>0</v>
      </c>
    </row>
    <row r="33" spans="1:10" ht="24.75" thickBot="1">
      <c r="A33" s="102"/>
      <c r="B33" s="346" t="s">
        <v>311</v>
      </c>
      <c r="C33" s="347">
        <f aca="true" t="shared" si="4" ref="C33:I33">SUM(C20+C28+C32)</f>
        <v>129809</v>
      </c>
      <c r="D33" s="347">
        <f t="shared" si="4"/>
        <v>0</v>
      </c>
      <c r="E33" s="347">
        <f t="shared" si="4"/>
        <v>0</v>
      </c>
      <c r="F33" s="330">
        <f t="shared" si="4"/>
        <v>0</v>
      </c>
      <c r="G33" s="331">
        <f t="shared" si="4"/>
        <v>0</v>
      </c>
      <c r="H33" s="330">
        <f t="shared" si="4"/>
        <v>0</v>
      </c>
      <c r="I33" s="348">
        <f t="shared" si="4"/>
        <v>129809</v>
      </c>
      <c r="J33" s="330">
        <f t="shared" si="2"/>
        <v>0</v>
      </c>
    </row>
  </sheetData>
  <sheetProtection/>
  <mergeCells count="10">
    <mergeCell ref="A7:B7"/>
    <mergeCell ref="A1:J1"/>
    <mergeCell ref="A2:J2"/>
    <mergeCell ref="A3:J3"/>
    <mergeCell ref="I4:J4"/>
    <mergeCell ref="A5:B6"/>
    <mergeCell ref="C5:D5"/>
    <mergeCell ref="E5:F5"/>
    <mergeCell ref="G5:H5"/>
    <mergeCell ref="I5:J5"/>
  </mergeCells>
  <printOptions horizontalCentered="1"/>
  <pageMargins left="0.1968503937007874" right="0" top="0.5511811023622047" bottom="0.3937007874015748" header="0.2362204724409449" footer="0.2362204724409449"/>
  <pageSetup horizontalDpi="600" verticalDpi="600" orientation="landscape" paperSize="9" scale="80" r:id="rId1"/>
  <headerFooter alignWithMargins="0">
    <oddHeader>&amp;R6. sz.melléklet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4">
      <selection activeCell="I20" sqref="I20"/>
    </sheetView>
  </sheetViews>
  <sheetFormatPr defaultColWidth="9.00390625" defaultRowHeight="12.75"/>
  <cols>
    <col min="1" max="1" width="3.75390625" style="0" customWidth="1"/>
    <col min="2" max="2" width="59.625" style="0" customWidth="1"/>
    <col min="3" max="3" width="10.00390625" style="0" customWidth="1"/>
    <col min="4" max="4" width="10.125" style="0" customWidth="1"/>
    <col min="5" max="5" width="7.625" style="0" customWidth="1"/>
    <col min="6" max="6" width="9.00390625" style="0" customWidth="1"/>
    <col min="7" max="7" width="9.875" style="0" customWidth="1"/>
    <col min="8" max="8" width="9.875" style="198" bestFit="1" customWidth="1"/>
    <col min="9" max="9" width="12.125" style="0" customWidth="1"/>
  </cols>
  <sheetData>
    <row r="1" spans="1:9" ht="12.75">
      <c r="A1" s="2"/>
      <c r="B1" s="2"/>
      <c r="C1" s="1019" t="s">
        <v>312</v>
      </c>
      <c r="D1" s="1019"/>
      <c r="E1" s="1019"/>
      <c r="F1" s="1019"/>
      <c r="G1" s="1019"/>
      <c r="H1" s="1019"/>
      <c r="I1" s="1019"/>
    </row>
    <row r="2" spans="1:9" ht="18">
      <c r="A2" s="915" t="s">
        <v>313</v>
      </c>
      <c r="B2" s="915"/>
      <c r="C2" s="915"/>
      <c r="D2" s="915"/>
      <c r="E2" s="915"/>
      <c r="F2" s="915"/>
      <c r="G2" s="915"/>
      <c r="H2" s="915"/>
      <c r="I2" s="915"/>
    </row>
    <row r="3" spans="1:9" ht="18">
      <c r="A3" s="915" t="s">
        <v>314</v>
      </c>
      <c r="B3" s="915"/>
      <c r="C3" s="915"/>
      <c r="D3" s="915"/>
      <c r="E3" s="915"/>
      <c r="F3" s="915"/>
      <c r="G3" s="915"/>
      <c r="H3" s="915"/>
      <c r="I3" s="915"/>
    </row>
    <row r="4" spans="1:9" ht="18">
      <c r="A4" s="915" t="s">
        <v>315</v>
      </c>
      <c r="B4" s="915"/>
      <c r="C4" s="915"/>
      <c r="D4" s="915"/>
      <c r="E4" s="915"/>
      <c r="F4" s="915"/>
      <c r="G4" s="915"/>
      <c r="H4" s="915"/>
      <c r="I4" s="915"/>
    </row>
    <row r="5" spans="1:9" ht="18" customHeight="1" thickBot="1">
      <c r="A5" s="2"/>
      <c r="B5" s="2"/>
      <c r="C5" s="1020" t="s">
        <v>51</v>
      </c>
      <c r="D5" s="1020"/>
      <c r="E5" s="1020"/>
      <c r="F5" s="1020"/>
      <c r="G5" s="1020"/>
      <c r="H5" s="1020"/>
      <c r="I5" s="1020"/>
    </row>
    <row r="6" spans="1:9" ht="21" customHeight="1" thickBot="1">
      <c r="A6" s="990" t="s">
        <v>316</v>
      </c>
      <c r="B6" s="991"/>
      <c r="C6" s="1021" t="s">
        <v>117</v>
      </c>
      <c r="D6" s="1021" t="s">
        <v>317</v>
      </c>
      <c r="E6" s="1024" t="s">
        <v>318</v>
      </c>
      <c r="F6" s="1024"/>
      <c r="G6" s="1024"/>
      <c r="H6" s="1024"/>
      <c r="I6" s="1025"/>
    </row>
    <row r="7" spans="1:9" ht="21" customHeight="1" thickBot="1">
      <c r="A7" s="993"/>
      <c r="B7" s="994"/>
      <c r="C7" s="1022"/>
      <c r="D7" s="1023"/>
      <c r="E7" s="349"/>
      <c r="F7" s="350" t="s">
        <v>319</v>
      </c>
      <c r="G7" s="351" t="s">
        <v>242</v>
      </c>
      <c r="H7" s="352" t="s">
        <v>320</v>
      </c>
      <c r="I7" s="353" t="s">
        <v>321</v>
      </c>
    </row>
    <row r="8" spans="1:9" ht="15" customHeight="1">
      <c r="A8" s="354"/>
      <c r="B8" s="355" t="s">
        <v>91</v>
      </c>
      <c r="C8" s="356"/>
      <c r="D8" s="356"/>
      <c r="E8" s="357"/>
      <c r="F8" s="358"/>
      <c r="G8" s="359"/>
      <c r="H8" s="360"/>
      <c r="I8" s="361"/>
    </row>
    <row r="9" spans="1:9" ht="15" customHeight="1">
      <c r="A9" s="362"/>
      <c r="B9" s="363"/>
      <c r="C9" s="364"/>
      <c r="D9" s="365"/>
      <c r="E9" s="366"/>
      <c r="F9" s="367"/>
      <c r="G9" s="368"/>
      <c r="H9" s="369"/>
      <c r="I9" s="370"/>
    </row>
    <row r="10" spans="1:9" ht="15" customHeight="1">
      <c r="A10" s="362"/>
      <c r="B10" s="363" t="s">
        <v>322</v>
      </c>
      <c r="C10" s="364">
        <f>524427+137000</f>
        <v>661427</v>
      </c>
      <c r="D10" s="365"/>
      <c r="E10" s="366"/>
      <c r="F10" s="367"/>
      <c r="G10" s="368"/>
      <c r="H10" s="369">
        <v>524427</v>
      </c>
      <c r="I10" s="370">
        <v>137000</v>
      </c>
    </row>
    <row r="11" spans="1:9" ht="15" customHeight="1">
      <c r="A11" s="362"/>
      <c r="B11" s="363" t="s">
        <v>323</v>
      </c>
      <c r="C11" s="364">
        <v>69320</v>
      </c>
      <c r="D11" s="365"/>
      <c r="E11" s="366"/>
      <c r="F11" s="367"/>
      <c r="G11" s="368"/>
      <c r="H11" s="369">
        <v>69320</v>
      </c>
      <c r="I11" s="370"/>
    </row>
    <row r="12" spans="1:9" ht="15" customHeight="1">
      <c r="A12" s="362"/>
      <c r="B12" s="363" t="s">
        <v>324</v>
      </c>
      <c r="C12" s="364">
        <v>3500</v>
      </c>
      <c r="D12" s="365"/>
      <c r="E12" s="366"/>
      <c r="F12" s="367"/>
      <c r="G12" s="368"/>
      <c r="H12" s="369"/>
      <c r="I12" s="370">
        <v>3500</v>
      </c>
    </row>
    <row r="13" spans="1:9" ht="15" customHeight="1">
      <c r="A13" s="362"/>
      <c r="B13" s="363" t="s">
        <v>325</v>
      </c>
      <c r="C13" s="364">
        <v>7500</v>
      </c>
      <c r="D13" s="365"/>
      <c r="E13" s="366"/>
      <c r="F13" s="367"/>
      <c r="G13" s="368"/>
      <c r="H13" s="369"/>
      <c r="I13" s="370">
        <v>7500</v>
      </c>
    </row>
    <row r="14" spans="1:9" ht="15" customHeight="1">
      <c r="A14" s="362"/>
      <c r="B14" s="363" t="s">
        <v>326</v>
      </c>
      <c r="C14" s="364">
        <v>6000</v>
      </c>
      <c r="D14" s="365"/>
      <c r="E14" s="366"/>
      <c r="F14" s="367"/>
      <c r="G14" s="368"/>
      <c r="H14" s="369"/>
      <c r="I14" s="370">
        <v>6000</v>
      </c>
    </row>
    <row r="15" spans="1:9" ht="15" customHeight="1">
      <c r="A15" s="362"/>
      <c r="B15" s="371" t="s">
        <v>327</v>
      </c>
      <c r="C15" s="364">
        <v>15000</v>
      </c>
      <c r="D15" s="365"/>
      <c r="E15" s="366"/>
      <c r="F15" s="367"/>
      <c r="G15" s="368"/>
      <c r="H15" s="369"/>
      <c r="I15" s="370">
        <v>15000</v>
      </c>
    </row>
    <row r="16" spans="1:9" ht="15" customHeight="1">
      <c r="A16" s="362"/>
      <c r="B16" s="363" t="s">
        <v>328</v>
      </c>
      <c r="C16" s="364">
        <v>48211</v>
      </c>
      <c r="D16" s="365"/>
      <c r="E16" s="366"/>
      <c r="F16" s="367"/>
      <c r="G16" s="368"/>
      <c r="H16" s="369">
        <v>48211</v>
      </c>
      <c r="I16" s="370"/>
    </row>
    <row r="17" spans="1:9" ht="15" customHeight="1">
      <c r="A17" s="362"/>
      <c r="B17" s="371" t="s">
        <v>329</v>
      </c>
      <c r="C17" s="364">
        <v>6755</v>
      </c>
      <c r="D17" s="365"/>
      <c r="E17" s="366"/>
      <c r="F17" s="367"/>
      <c r="G17" s="368"/>
      <c r="H17" s="369">
        <v>6755</v>
      </c>
      <c r="I17" s="370"/>
    </row>
    <row r="18" spans="1:9" ht="15.75">
      <c r="A18" s="362"/>
      <c r="B18" s="371" t="s">
        <v>330</v>
      </c>
      <c r="C18" s="372">
        <v>3058</v>
      </c>
      <c r="D18" s="373"/>
      <c r="E18" s="374"/>
      <c r="F18" s="375"/>
      <c r="G18" s="376"/>
      <c r="H18" s="377"/>
      <c r="I18" s="378">
        <v>3058</v>
      </c>
    </row>
    <row r="19" spans="1:9" ht="15.75">
      <c r="A19" s="362"/>
      <c r="B19" s="363" t="s">
        <v>331</v>
      </c>
      <c r="C19" s="364">
        <f>1800+2705</f>
        <v>4505</v>
      </c>
      <c r="D19" s="365"/>
      <c r="E19" s="366"/>
      <c r="F19" s="367"/>
      <c r="G19" s="368"/>
      <c r="H19" s="369"/>
      <c r="I19" s="370">
        <v>4505</v>
      </c>
    </row>
    <row r="20" spans="1:9" ht="15.75">
      <c r="A20" s="362"/>
      <c r="B20" s="363" t="s">
        <v>332</v>
      </c>
      <c r="C20" s="364">
        <v>6230</v>
      </c>
      <c r="D20" s="365"/>
      <c r="E20" s="366"/>
      <c r="F20" s="367"/>
      <c r="G20" s="368"/>
      <c r="H20" s="369"/>
      <c r="I20" s="370">
        <v>6230</v>
      </c>
    </row>
    <row r="21" spans="1:9" ht="15.75">
      <c r="A21" s="362"/>
      <c r="B21" s="363" t="s">
        <v>333</v>
      </c>
      <c r="C21" s="364">
        <v>1700</v>
      </c>
      <c r="D21" s="379"/>
      <c r="E21" s="368"/>
      <c r="F21" s="369"/>
      <c r="G21" s="368"/>
      <c r="H21" s="369"/>
      <c r="I21" s="370">
        <v>1700</v>
      </c>
    </row>
    <row r="22" spans="1:9" ht="15.75">
      <c r="A22" s="362"/>
      <c r="B22" s="363"/>
      <c r="C22" s="364"/>
      <c r="D22" s="365"/>
      <c r="E22" s="366"/>
      <c r="F22" s="380"/>
      <c r="G22" s="368"/>
      <c r="H22" s="369"/>
      <c r="I22" s="370"/>
    </row>
    <row r="23" spans="1:9" ht="15.75">
      <c r="A23" s="362"/>
      <c r="B23" s="363"/>
      <c r="C23" s="364"/>
      <c r="D23" s="365"/>
      <c r="E23" s="366"/>
      <c r="F23" s="367"/>
      <c r="G23" s="368"/>
      <c r="H23" s="369"/>
      <c r="I23" s="370"/>
    </row>
    <row r="24" spans="1:9" ht="15.75">
      <c r="A24" s="362"/>
      <c r="B24" s="371"/>
      <c r="C24" s="364"/>
      <c r="D24" s="365"/>
      <c r="E24" s="366"/>
      <c r="F24" s="367"/>
      <c r="G24" s="368"/>
      <c r="H24" s="369"/>
      <c r="I24" s="370"/>
    </row>
    <row r="25" spans="1:9" ht="15.75">
      <c r="A25" s="362"/>
      <c r="B25" s="381"/>
      <c r="C25" s="369"/>
      <c r="D25" s="379"/>
      <c r="E25" s="368"/>
      <c r="F25" s="369"/>
      <c r="G25" s="368"/>
      <c r="H25" s="369"/>
      <c r="I25" s="370"/>
    </row>
    <row r="26" spans="1:9" ht="15.75">
      <c r="A26" s="362"/>
      <c r="B26" s="371"/>
      <c r="C26" s="369"/>
      <c r="D26" s="379"/>
      <c r="E26" s="368"/>
      <c r="F26" s="369"/>
      <c r="G26" s="368"/>
      <c r="H26" s="369"/>
      <c r="I26" s="370"/>
    </row>
    <row r="27" spans="1:9" ht="15.75">
      <c r="A27" s="362"/>
      <c r="B27" s="371"/>
      <c r="C27" s="369"/>
      <c r="D27" s="379"/>
      <c r="E27" s="368"/>
      <c r="F27" s="369"/>
      <c r="G27" s="368"/>
      <c r="H27" s="369"/>
      <c r="I27" s="370"/>
    </row>
    <row r="28" spans="1:9" ht="15.75">
      <c r="A28" s="362"/>
      <c r="B28" s="371"/>
      <c r="C28" s="369"/>
      <c r="D28" s="379"/>
      <c r="E28" s="368"/>
      <c r="F28" s="369"/>
      <c r="G28" s="368"/>
      <c r="H28" s="369"/>
      <c r="I28" s="370"/>
    </row>
    <row r="29" spans="1:9" s="384" customFormat="1" ht="12.75">
      <c r="A29" s="382"/>
      <c r="B29" s="383"/>
      <c r="C29" s="364"/>
      <c r="D29" s="379"/>
      <c r="E29" s="368"/>
      <c r="F29" s="369"/>
      <c r="G29" s="368"/>
      <c r="H29" s="369"/>
      <c r="I29" s="370"/>
    </row>
    <row r="30" spans="1:9" s="384" customFormat="1" ht="12.75">
      <c r="A30" s="382"/>
      <c r="B30" s="385"/>
      <c r="C30" s="364"/>
      <c r="D30" s="379"/>
      <c r="E30" s="368"/>
      <c r="F30" s="369"/>
      <c r="G30" s="368"/>
      <c r="H30" s="369"/>
      <c r="I30" s="370"/>
    </row>
    <row r="31" spans="1:9" s="384" customFormat="1" ht="12.75">
      <c r="A31" s="382"/>
      <c r="B31" s="383"/>
      <c r="C31" s="364"/>
      <c r="D31" s="379"/>
      <c r="E31" s="368"/>
      <c r="F31" s="369"/>
      <c r="G31" s="368"/>
      <c r="H31" s="369"/>
      <c r="I31" s="370"/>
    </row>
    <row r="32" spans="1:9" s="384" customFormat="1" ht="12.75">
      <c r="A32" s="382"/>
      <c r="B32" s="383"/>
      <c r="C32" s="364"/>
      <c r="D32" s="379"/>
      <c r="E32" s="368"/>
      <c r="F32" s="369"/>
      <c r="G32" s="368"/>
      <c r="H32" s="369"/>
      <c r="I32" s="370"/>
    </row>
    <row r="33" spans="1:9" s="110" customFormat="1" ht="12.75">
      <c r="A33" s="382"/>
      <c r="B33" s="383"/>
      <c r="C33" s="364"/>
      <c r="D33" s="379"/>
      <c r="E33" s="368"/>
      <c r="F33" s="369"/>
      <c r="G33" s="368"/>
      <c r="H33" s="369"/>
      <c r="I33" s="370"/>
    </row>
    <row r="34" spans="1:9" s="110" customFormat="1" ht="15" customHeight="1">
      <c r="A34" s="382"/>
      <c r="B34" s="383"/>
      <c r="C34" s="364"/>
      <c r="D34" s="379"/>
      <c r="E34" s="368"/>
      <c r="F34" s="369"/>
      <c r="G34" s="368"/>
      <c r="H34" s="369"/>
      <c r="I34" s="370"/>
    </row>
    <row r="35" spans="1:9" s="384" customFormat="1" ht="12.75">
      <c r="A35" s="382"/>
      <c r="B35" s="383"/>
      <c r="C35" s="364"/>
      <c r="D35" s="379"/>
      <c r="E35" s="368"/>
      <c r="F35" s="369"/>
      <c r="G35" s="368"/>
      <c r="H35" s="369"/>
      <c r="I35" s="370"/>
    </row>
    <row r="36" spans="1:9" s="384" customFormat="1" ht="12.75">
      <c r="A36" s="382"/>
      <c r="B36" s="383"/>
      <c r="C36" s="364"/>
      <c r="D36" s="379"/>
      <c r="E36" s="368"/>
      <c r="F36" s="369"/>
      <c r="G36" s="368"/>
      <c r="H36" s="369"/>
      <c r="I36" s="370"/>
    </row>
    <row r="37" spans="1:9" s="384" customFormat="1" ht="12.75">
      <c r="A37" s="382"/>
      <c r="B37" s="383"/>
      <c r="C37" s="364"/>
      <c r="D37" s="379"/>
      <c r="E37" s="368"/>
      <c r="F37" s="369"/>
      <c r="G37" s="368"/>
      <c r="H37" s="369"/>
      <c r="I37" s="370"/>
    </row>
    <row r="38" spans="1:9" s="384" customFormat="1" ht="12.75">
      <c r="A38" s="382"/>
      <c r="B38" s="386"/>
      <c r="C38" s="364"/>
      <c r="D38" s="379"/>
      <c r="E38" s="368"/>
      <c r="F38" s="369"/>
      <c r="G38" s="368"/>
      <c r="H38" s="369"/>
      <c r="I38" s="370"/>
    </row>
    <row r="39" spans="1:9" s="384" customFormat="1" ht="12.75">
      <c r="A39" s="382"/>
      <c r="B39" s="383"/>
      <c r="C39" s="364"/>
      <c r="D39" s="379"/>
      <c r="E39" s="368"/>
      <c r="F39" s="369"/>
      <c r="G39" s="368"/>
      <c r="H39" s="369"/>
      <c r="I39" s="370"/>
    </row>
    <row r="40" spans="1:9" s="384" customFormat="1" ht="12.75">
      <c r="A40" s="382"/>
      <c r="B40" s="387"/>
      <c r="C40" s="364"/>
      <c r="D40" s="379"/>
      <c r="E40" s="368"/>
      <c r="F40" s="369"/>
      <c r="G40" s="368"/>
      <c r="H40" s="369"/>
      <c r="I40" s="370"/>
    </row>
    <row r="41" spans="1:9" s="384" customFormat="1" ht="12.75">
      <c r="A41" s="382"/>
      <c r="B41" s="383"/>
      <c r="C41" s="388"/>
      <c r="D41" s="379"/>
      <c r="E41" s="368"/>
      <c r="F41" s="369"/>
      <c r="G41" s="368"/>
      <c r="H41" s="369"/>
      <c r="I41" s="370"/>
    </row>
    <row r="42" spans="1:9" s="384" customFormat="1" ht="12.75">
      <c r="A42" s="382"/>
      <c r="B42" s="387"/>
      <c r="C42" s="388"/>
      <c r="D42" s="379"/>
      <c r="E42" s="368"/>
      <c r="F42" s="369"/>
      <c r="G42" s="368"/>
      <c r="H42" s="369"/>
      <c r="I42" s="370"/>
    </row>
    <row r="43" spans="1:9" s="384" customFormat="1" ht="12.75">
      <c r="A43" s="382"/>
      <c r="B43" s="383"/>
      <c r="C43" s="388"/>
      <c r="D43" s="379"/>
      <c r="E43" s="368"/>
      <c r="F43" s="369"/>
      <c r="G43" s="368"/>
      <c r="H43" s="369"/>
      <c r="I43" s="370"/>
    </row>
    <row r="44" spans="1:9" s="384" customFormat="1" ht="12.75" customHeight="1" thickBot="1">
      <c r="A44" s="382"/>
      <c r="B44" s="389"/>
      <c r="C44" s="388"/>
      <c r="D44" s="379"/>
      <c r="E44" s="368"/>
      <c r="F44" s="369"/>
      <c r="G44" s="368"/>
      <c r="H44" s="369"/>
      <c r="I44" s="370"/>
    </row>
    <row r="45" spans="1:11" ht="15" thickBot="1">
      <c r="A45" s="390" t="s">
        <v>6</v>
      </c>
      <c r="B45" s="391" t="s">
        <v>334</v>
      </c>
      <c r="C45" s="392">
        <f aca="true" t="shared" si="0" ref="C45:H45">SUM(C9:C44)</f>
        <v>833206</v>
      </c>
      <c r="D45" s="393">
        <f t="shared" si="0"/>
        <v>0</v>
      </c>
      <c r="E45" s="394">
        <f t="shared" si="0"/>
        <v>0</v>
      </c>
      <c r="F45" s="393">
        <f t="shared" si="0"/>
        <v>0</v>
      </c>
      <c r="G45" s="394">
        <f t="shared" si="0"/>
        <v>0</v>
      </c>
      <c r="H45" s="393">
        <f t="shared" si="0"/>
        <v>648713</v>
      </c>
      <c r="I45" s="395">
        <f>SUM(I8:I44)</f>
        <v>184493</v>
      </c>
      <c r="J45" s="198"/>
      <c r="K45" s="198"/>
    </row>
    <row r="46" spans="1:9" ht="15.75" thickBot="1">
      <c r="A46" s="396"/>
      <c r="B46" s="397" t="s">
        <v>191</v>
      </c>
      <c r="C46" s="398"/>
      <c r="D46" s="399"/>
      <c r="E46" s="400"/>
      <c r="F46" s="401"/>
      <c r="G46" s="400"/>
      <c r="H46" s="402"/>
      <c r="I46" s="403"/>
    </row>
    <row r="47" spans="1:9" ht="15" thickBot="1">
      <c r="A47" s="390" t="s">
        <v>7</v>
      </c>
      <c r="B47" s="391" t="s">
        <v>335</v>
      </c>
      <c r="C47" s="393">
        <v>0</v>
      </c>
      <c r="D47" s="393">
        <f aca="true" t="shared" si="1" ref="D47:I47">D46</f>
        <v>0</v>
      </c>
      <c r="E47" s="394">
        <f t="shared" si="1"/>
        <v>0</v>
      </c>
      <c r="F47" s="393">
        <f t="shared" si="1"/>
        <v>0</v>
      </c>
      <c r="G47" s="394">
        <f t="shared" si="1"/>
        <v>0</v>
      </c>
      <c r="H47" s="393">
        <f t="shared" si="1"/>
        <v>0</v>
      </c>
      <c r="I47" s="395">
        <f t="shared" si="1"/>
        <v>0</v>
      </c>
    </row>
    <row r="48" spans="1:9" ht="15.75" thickBot="1">
      <c r="A48" s="404"/>
      <c r="B48" s="405" t="s">
        <v>336</v>
      </c>
      <c r="C48" s="406"/>
      <c r="D48" s="406"/>
      <c r="E48" s="407"/>
      <c r="F48" s="402"/>
      <c r="G48" s="400"/>
      <c r="H48" s="402"/>
      <c r="I48" s="403"/>
    </row>
    <row r="49" spans="1:9" ht="15" thickBot="1">
      <c r="A49" s="390" t="s">
        <v>8</v>
      </c>
      <c r="B49" s="391" t="s">
        <v>337</v>
      </c>
      <c r="C49" s="393">
        <f>C48</f>
        <v>0</v>
      </c>
      <c r="D49" s="393">
        <f aca="true" t="shared" si="2" ref="D49:I49">D48</f>
        <v>0</v>
      </c>
      <c r="E49" s="394">
        <f t="shared" si="2"/>
        <v>0</v>
      </c>
      <c r="F49" s="393">
        <f t="shared" si="2"/>
        <v>0</v>
      </c>
      <c r="G49" s="394">
        <f t="shared" si="2"/>
        <v>0</v>
      </c>
      <c r="H49" s="393">
        <f t="shared" si="2"/>
        <v>0</v>
      </c>
      <c r="I49" s="395">
        <f t="shared" si="2"/>
        <v>0</v>
      </c>
    </row>
    <row r="50" spans="1:9" ht="15.75" thickBot="1">
      <c r="A50" s="396"/>
      <c r="B50" s="397" t="s">
        <v>338</v>
      </c>
      <c r="C50" s="399"/>
      <c r="D50" s="399"/>
      <c r="E50" s="408"/>
      <c r="F50" s="399"/>
      <c r="G50" s="400"/>
      <c r="H50" s="402"/>
      <c r="I50" s="403"/>
    </row>
    <row r="51" spans="1:9" ht="15" thickBot="1">
      <c r="A51" s="390" t="s">
        <v>40</v>
      </c>
      <c r="B51" s="391" t="s">
        <v>339</v>
      </c>
      <c r="C51" s="393">
        <f>C50</f>
        <v>0</v>
      </c>
      <c r="D51" s="393">
        <f aca="true" t="shared" si="3" ref="D51:I51">D50</f>
        <v>0</v>
      </c>
      <c r="E51" s="394">
        <f t="shared" si="3"/>
        <v>0</v>
      </c>
      <c r="F51" s="393">
        <f t="shared" si="3"/>
        <v>0</v>
      </c>
      <c r="G51" s="394">
        <f t="shared" si="3"/>
        <v>0</v>
      </c>
      <c r="H51" s="393">
        <f t="shared" si="3"/>
        <v>0</v>
      </c>
      <c r="I51" s="395">
        <f t="shared" si="3"/>
        <v>0</v>
      </c>
    </row>
    <row r="52" spans="1:9" ht="15.75" thickBot="1">
      <c r="A52" s="404"/>
      <c r="B52" s="397" t="s">
        <v>340</v>
      </c>
      <c r="C52" s="398">
        <v>0</v>
      </c>
      <c r="D52" s="406"/>
      <c r="E52" s="407"/>
      <c r="F52" s="402"/>
      <c r="G52" s="400"/>
      <c r="H52" s="402"/>
      <c r="I52" s="403">
        <v>0</v>
      </c>
    </row>
    <row r="53" spans="1:9" ht="15" thickBot="1">
      <c r="A53" s="390" t="s">
        <v>17</v>
      </c>
      <c r="B53" s="391" t="s">
        <v>341</v>
      </c>
      <c r="C53" s="409">
        <f aca="true" t="shared" si="4" ref="C53:H53">C52</f>
        <v>0</v>
      </c>
      <c r="D53" s="409">
        <f t="shared" si="4"/>
        <v>0</v>
      </c>
      <c r="E53" s="410">
        <f t="shared" si="4"/>
        <v>0</v>
      </c>
      <c r="F53" s="409">
        <f t="shared" si="4"/>
        <v>0</v>
      </c>
      <c r="G53" s="410">
        <f t="shared" si="4"/>
        <v>0</v>
      </c>
      <c r="H53" s="409">
        <f t="shared" si="4"/>
        <v>0</v>
      </c>
      <c r="I53" s="411">
        <f>I52</f>
        <v>0</v>
      </c>
    </row>
    <row r="54" spans="1:10" ht="15" thickBot="1">
      <c r="A54" s="1017" t="s">
        <v>342</v>
      </c>
      <c r="B54" s="1018"/>
      <c r="C54" s="412">
        <f aca="true" t="shared" si="5" ref="C54:I54">SUM(C45+C49+C51+C53+C47)</f>
        <v>833206</v>
      </c>
      <c r="D54" s="412">
        <f t="shared" si="5"/>
        <v>0</v>
      </c>
      <c r="E54" s="413">
        <f t="shared" si="5"/>
        <v>0</v>
      </c>
      <c r="F54" s="412">
        <f t="shared" si="5"/>
        <v>0</v>
      </c>
      <c r="G54" s="413">
        <f t="shared" si="5"/>
        <v>0</v>
      </c>
      <c r="H54" s="412">
        <f t="shared" si="5"/>
        <v>648713</v>
      </c>
      <c r="I54" s="414">
        <f t="shared" si="5"/>
        <v>184493</v>
      </c>
      <c r="J54" s="198"/>
    </row>
    <row r="55" spans="1:2" ht="12.75">
      <c r="A55" s="415"/>
      <c r="B55" s="415"/>
    </row>
    <row r="56" spans="3:9" ht="12.75">
      <c r="C56" s="198"/>
      <c r="D56" s="198"/>
      <c r="E56" s="198"/>
      <c r="F56" s="198"/>
      <c r="G56" s="198"/>
      <c r="I56" s="198"/>
    </row>
    <row r="57" spans="4:6" ht="12.75">
      <c r="D57" s="198"/>
      <c r="F57" s="198"/>
    </row>
  </sheetData>
  <sheetProtection/>
  <mergeCells count="10">
    <mergeCell ref="A54:B54"/>
    <mergeCell ref="C1:I1"/>
    <mergeCell ref="A2:I2"/>
    <mergeCell ref="A3:I3"/>
    <mergeCell ref="A4:I4"/>
    <mergeCell ref="C5:I5"/>
    <mergeCell ref="A6:B7"/>
    <mergeCell ref="C6:C7"/>
    <mergeCell ref="D6:D7"/>
    <mergeCell ref="E6:I6"/>
  </mergeCells>
  <printOptions horizontalCentered="1"/>
  <pageMargins left="0.2362204724409449" right="0.3937007874015748" top="0.3937007874015748" bottom="0.1968503937007874" header="0.15748031496062992" footer="0.15748031496062992"/>
  <pageSetup horizontalDpi="600" verticalDpi="600" orientation="landscape" paperSize="9" scale="7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4.875" style="0" bestFit="1" customWidth="1"/>
    <col min="2" max="2" width="10.00390625" style="0" bestFit="1" customWidth="1"/>
    <col min="3" max="3" width="10.75390625" style="0" customWidth="1"/>
    <col min="7" max="7" width="17.375" style="0" bestFit="1" customWidth="1"/>
    <col min="8" max="8" width="10.00390625" style="0" customWidth="1"/>
  </cols>
  <sheetData>
    <row r="1" ht="15">
      <c r="H1" s="416" t="s">
        <v>343</v>
      </c>
    </row>
    <row r="2" spans="1:8" ht="18.75">
      <c r="A2" s="1026" t="s">
        <v>344</v>
      </c>
      <c r="B2" s="1026"/>
      <c r="C2" s="1026"/>
      <c r="D2" s="1026"/>
      <c r="E2" s="1026"/>
      <c r="F2" s="1026"/>
      <c r="G2" s="1026"/>
      <c r="H2" s="1026"/>
    </row>
    <row r="3" spans="1:8" ht="21" customHeight="1">
      <c r="A3" s="1026" t="s">
        <v>345</v>
      </c>
      <c r="B3" s="1026"/>
      <c r="C3" s="1026"/>
      <c r="D3" s="1026"/>
      <c r="E3" s="1026"/>
      <c r="F3" s="1026"/>
      <c r="G3" s="1026"/>
      <c r="H3" s="1026"/>
    </row>
    <row r="4" spans="1:8" ht="18.75">
      <c r="A4" s="1026" t="s">
        <v>346</v>
      </c>
      <c r="B4" s="1026"/>
      <c r="C4" s="1026"/>
      <c r="D4" s="1026"/>
      <c r="E4" s="1026"/>
      <c r="F4" s="1026"/>
      <c r="G4" s="1026"/>
      <c r="H4" s="1026"/>
    </row>
    <row r="5" ht="13.5" thickBot="1">
      <c r="G5" t="s">
        <v>347</v>
      </c>
    </row>
    <row r="6" spans="1:8" ht="16.5" customHeight="1" thickBot="1">
      <c r="A6" s="1027" t="s">
        <v>0</v>
      </c>
      <c r="B6" s="417" t="s">
        <v>348</v>
      </c>
      <c r="C6" s="418" t="s">
        <v>349</v>
      </c>
      <c r="D6" s="1029" t="s">
        <v>318</v>
      </c>
      <c r="E6" s="1030"/>
      <c r="F6" s="1030"/>
      <c r="G6" s="1030"/>
      <c r="H6" s="1031"/>
    </row>
    <row r="7" spans="1:8" ht="21.75" customHeight="1" thickBot="1">
      <c r="A7" s="1028"/>
      <c r="B7" s="419" t="s">
        <v>350</v>
      </c>
      <c r="C7" s="420" t="s">
        <v>350</v>
      </c>
      <c r="D7" s="417"/>
      <c r="E7" s="420" t="s">
        <v>351</v>
      </c>
      <c r="F7" s="417" t="s">
        <v>352</v>
      </c>
      <c r="G7" s="420" t="s">
        <v>320</v>
      </c>
      <c r="H7" s="417" t="s">
        <v>321</v>
      </c>
    </row>
    <row r="8" spans="1:8" ht="15" customHeight="1">
      <c r="A8" s="421" t="s">
        <v>353</v>
      </c>
      <c r="B8" s="422"/>
      <c r="C8" s="423"/>
      <c r="D8" s="422"/>
      <c r="E8" s="423"/>
      <c r="F8" s="422"/>
      <c r="G8" s="423"/>
      <c r="H8" s="422"/>
    </row>
    <row r="9" spans="1:8" ht="15" customHeight="1">
      <c r="A9" s="424"/>
      <c r="B9" s="425"/>
      <c r="C9" s="426"/>
      <c r="D9" s="425"/>
      <c r="E9" s="426"/>
      <c r="F9" s="425"/>
      <c r="G9" s="426"/>
      <c r="H9" s="425"/>
    </row>
    <row r="10" spans="1:8" ht="15" customHeight="1">
      <c r="A10" s="424"/>
      <c r="B10" s="425"/>
      <c r="C10" s="426"/>
      <c r="D10" s="425"/>
      <c r="E10" s="426"/>
      <c r="F10" s="425"/>
      <c r="G10" s="426"/>
      <c r="H10" s="425"/>
    </row>
    <row r="11" spans="1:8" ht="15" customHeight="1">
      <c r="A11" s="427"/>
      <c r="B11" s="425"/>
      <c r="C11" s="426"/>
      <c r="D11" s="425"/>
      <c r="E11" s="426"/>
      <c r="F11" s="425"/>
      <c r="G11" s="428"/>
      <c r="H11" s="425"/>
    </row>
    <row r="12" spans="1:8" ht="15" customHeight="1">
      <c r="A12" s="427"/>
      <c r="B12" s="425"/>
      <c r="C12" s="426"/>
      <c r="D12" s="425"/>
      <c r="E12" s="426"/>
      <c r="F12" s="425"/>
      <c r="G12" s="428"/>
      <c r="H12" s="425"/>
    </row>
    <row r="13" spans="1:8" ht="15" customHeight="1">
      <c r="A13" s="427"/>
      <c r="B13" s="425"/>
      <c r="C13" s="426"/>
      <c r="D13" s="425"/>
      <c r="E13" s="426"/>
      <c r="F13" s="425"/>
      <c r="G13" s="428"/>
      <c r="H13" s="425"/>
    </row>
    <row r="14" spans="1:8" ht="15" customHeight="1">
      <c r="A14" s="427"/>
      <c r="B14" s="425"/>
      <c r="C14" s="426"/>
      <c r="D14" s="425"/>
      <c r="E14" s="426"/>
      <c r="F14" s="425"/>
      <c r="G14" s="426"/>
      <c r="H14" s="425"/>
    </row>
    <row r="15" spans="1:8" ht="15" customHeight="1">
      <c r="A15" s="424"/>
      <c r="B15" s="425"/>
      <c r="C15" s="426"/>
      <c r="D15" s="425"/>
      <c r="E15" s="426"/>
      <c r="F15" s="425"/>
      <c r="G15" s="426"/>
      <c r="H15" s="425"/>
    </row>
    <row r="16" spans="1:8" ht="18" customHeight="1">
      <c r="A16" s="383"/>
      <c r="B16" s="425"/>
      <c r="C16" s="426"/>
      <c r="D16" s="425"/>
      <c r="E16" s="426"/>
      <c r="F16" s="425"/>
      <c r="G16" s="426"/>
      <c r="H16" s="425"/>
    </row>
    <row r="17" spans="1:8" ht="15.75" customHeight="1">
      <c r="A17" s="429"/>
      <c r="B17" s="425"/>
      <c r="C17" s="426"/>
      <c r="D17" s="425"/>
      <c r="E17" s="426"/>
      <c r="F17" s="425"/>
      <c r="G17" s="426"/>
      <c r="H17" s="425"/>
    </row>
    <row r="18" spans="1:8" ht="15" customHeight="1">
      <c r="A18" s="424"/>
      <c r="B18" s="425"/>
      <c r="C18" s="426"/>
      <c r="D18" s="425"/>
      <c r="E18" s="426"/>
      <c r="F18" s="425"/>
      <c r="G18" s="426"/>
      <c r="H18" s="425"/>
    </row>
    <row r="19" spans="1:8" ht="15" customHeight="1">
      <c r="A19" s="427"/>
      <c r="B19" s="425"/>
      <c r="C19" s="426"/>
      <c r="D19" s="425"/>
      <c r="E19" s="426"/>
      <c r="F19" s="425"/>
      <c r="G19" s="428"/>
      <c r="H19" s="425"/>
    </row>
    <row r="20" spans="1:8" ht="15" customHeight="1">
      <c r="A20" s="427"/>
      <c r="B20" s="425"/>
      <c r="C20" s="426"/>
      <c r="D20" s="425"/>
      <c r="E20" s="426"/>
      <c r="F20" s="425"/>
      <c r="G20" s="428"/>
      <c r="H20" s="425"/>
    </row>
    <row r="21" spans="1:8" ht="15" customHeight="1">
      <c r="A21" s="427"/>
      <c r="B21" s="425"/>
      <c r="C21" s="426"/>
      <c r="D21" s="425"/>
      <c r="E21" s="426"/>
      <c r="F21" s="425"/>
      <c r="G21" s="428"/>
      <c r="H21" s="425"/>
    </row>
    <row r="22" spans="1:8" ht="15" customHeight="1">
      <c r="A22" s="427"/>
      <c r="B22" s="425"/>
      <c r="C22" s="426"/>
      <c r="D22" s="425"/>
      <c r="E22" s="426"/>
      <c r="F22" s="425"/>
      <c r="G22" s="426"/>
      <c r="H22" s="425"/>
    </row>
    <row r="23" spans="1:8" ht="15" customHeight="1">
      <c r="A23" s="427"/>
      <c r="B23" s="425"/>
      <c r="C23" s="426"/>
      <c r="D23" s="425"/>
      <c r="E23" s="426"/>
      <c r="F23" s="425"/>
      <c r="G23" s="426"/>
      <c r="H23" s="425"/>
    </row>
    <row r="24" spans="1:8" ht="15" customHeight="1">
      <c r="A24" s="427"/>
      <c r="B24" s="425"/>
      <c r="C24" s="426"/>
      <c r="D24" s="425"/>
      <c r="E24" s="426"/>
      <c r="F24" s="425"/>
      <c r="G24" s="426"/>
      <c r="H24" s="425"/>
    </row>
    <row r="25" spans="1:8" ht="15" customHeight="1" thickBot="1">
      <c r="A25" s="430"/>
      <c r="B25" s="425"/>
      <c r="C25" s="426"/>
      <c r="D25" s="425"/>
      <c r="E25" s="426"/>
      <c r="F25" s="425"/>
      <c r="G25" s="428"/>
      <c r="H25" s="425"/>
    </row>
    <row r="26" spans="1:9" ht="15" customHeight="1" thickBot="1">
      <c r="A26" s="431" t="s">
        <v>252</v>
      </c>
      <c r="B26" s="432">
        <f aca="true" t="shared" si="0" ref="B26:H26">SUM(B9:B25)</f>
        <v>0</v>
      </c>
      <c r="C26" s="432">
        <f t="shared" si="0"/>
        <v>0</v>
      </c>
      <c r="D26" s="432">
        <f t="shared" si="0"/>
        <v>0</v>
      </c>
      <c r="E26" s="432">
        <f t="shared" si="0"/>
        <v>0</v>
      </c>
      <c r="F26" s="432">
        <f t="shared" si="0"/>
        <v>0</v>
      </c>
      <c r="G26" s="432">
        <f t="shared" si="0"/>
        <v>0</v>
      </c>
      <c r="H26" s="432">
        <f t="shared" si="0"/>
        <v>0</v>
      </c>
      <c r="I26" s="198"/>
    </row>
    <row r="27" spans="1:8" ht="15" customHeight="1" thickBot="1">
      <c r="A27" s="433" t="s">
        <v>354</v>
      </c>
      <c r="B27" s="412">
        <f aca="true" t="shared" si="1" ref="B27:H27">B8+B26</f>
        <v>0</v>
      </c>
      <c r="C27" s="413">
        <f t="shared" si="1"/>
        <v>0</v>
      </c>
      <c r="D27" s="412">
        <f t="shared" si="1"/>
        <v>0</v>
      </c>
      <c r="E27" s="413">
        <f t="shared" si="1"/>
        <v>0</v>
      </c>
      <c r="F27" s="412">
        <f t="shared" si="1"/>
        <v>0</v>
      </c>
      <c r="G27" s="413">
        <f t="shared" si="1"/>
        <v>0</v>
      </c>
      <c r="H27" s="412">
        <f t="shared" si="1"/>
        <v>0</v>
      </c>
    </row>
  </sheetData>
  <sheetProtection/>
  <mergeCells count="5">
    <mergeCell ref="A2:H2"/>
    <mergeCell ref="A3:H3"/>
    <mergeCell ref="A4:H4"/>
    <mergeCell ref="A6:A7"/>
    <mergeCell ref="D6:H6"/>
  </mergeCells>
  <printOptions horizontalCentered="1"/>
  <pageMargins left="0.7086614173228347" right="0.7086614173228347" top="0.1968503937007874" bottom="0.15748031496062992" header="0.15748031496062992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16" sqref="C16"/>
    </sheetView>
  </sheetViews>
  <sheetFormatPr defaultColWidth="8.00390625" defaultRowHeight="12.75"/>
  <cols>
    <col min="1" max="1" width="5.00390625" style="521" customWidth="1"/>
    <col min="2" max="2" width="47.00390625" style="505" customWidth="1"/>
    <col min="3" max="4" width="15.125" style="505" customWidth="1"/>
    <col min="5" max="16384" width="8.00390625" style="505" customWidth="1"/>
  </cols>
  <sheetData>
    <row r="1" spans="1:4" s="492" customFormat="1" ht="15.75" thickBot="1">
      <c r="A1" s="491"/>
      <c r="D1" s="493" t="s">
        <v>379</v>
      </c>
    </row>
    <row r="2" spans="1:4" s="497" customFormat="1" ht="48" customHeight="1" thickBot="1">
      <c r="A2" s="494" t="s">
        <v>380</v>
      </c>
      <c r="B2" s="495" t="s">
        <v>381</v>
      </c>
      <c r="C2" s="495" t="s">
        <v>382</v>
      </c>
      <c r="D2" s="496" t="s">
        <v>383</v>
      </c>
    </row>
    <row r="3" spans="1:4" s="497" customFormat="1" ht="13.5" customHeight="1" thickBot="1">
      <c r="A3" s="498">
        <v>1</v>
      </c>
      <c r="B3" s="499">
        <v>2</v>
      </c>
      <c r="C3" s="499">
        <v>3</v>
      </c>
      <c r="D3" s="500">
        <v>4</v>
      </c>
    </row>
    <row r="4" spans="1:4" ht="18" customHeight="1">
      <c r="A4" s="501" t="s">
        <v>6</v>
      </c>
      <c r="B4" s="502" t="s">
        <v>384</v>
      </c>
      <c r="C4" s="503">
        <v>0</v>
      </c>
      <c r="D4" s="504">
        <v>0</v>
      </c>
    </row>
    <row r="5" spans="1:4" ht="18" customHeight="1">
      <c r="A5" s="506" t="s">
        <v>7</v>
      </c>
      <c r="B5" s="507" t="s">
        <v>385</v>
      </c>
      <c r="C5" s="508">
        <v>0</v>
      </c>
      <c r="D5" s="509">
        <v>0</v>
      </c>
    </row>
    <row r="6" spans="1:4" ht="18" customHeight="1">
      <c r="A6" s="506" t="s">
        <v>8</v>
      </c>
      <c r="B6" s="507" t="s">
        <v>386</v>
      </c>
      <c r="C6" s="508">
        <v>0</v>
      </c>
      <c r="D6" s="509">
        <v>0</v>
      </c>
    </row>
    <row r="7" spans="1:4" ht="18" customHeight="1">
      <c r="A7" s="506" t="s">
        <v>40</v>
      </c>
      <c r="B7" s="507" t="s">
        <v>387</v>
      </c>
      <c r="C7" s="508">
        <v>0</v>
      </c>
      <c r="D7" s="509">
        <v>0</v>
      </c>
    </row>
    <row r="8" spans="1:4" ht="18" customHeight="1">
      <c r="A8" s="506" t="s">
        <v>17</v>
      </c>
      <c r="B8" s="507" t="s">
        <v>388</v>
      </c>
      <c r="C8" s="508">
        <v>0</v>
      </c>
      <c r="D8" s="509">
        <v>0</v>
      </c>
    </row>
    <row r="9" spans="1:4" ht="18" customHeight="1">
      <c r="A9" s="506" t="s">
        <v>32</v>
      </c>
      <c r="B9" s="507" t="s">
        <v>389</v>
      </c>
      <c r="C9" s="508">
        <v>0</v>
      </c>
      <c r="D9" s="509">
        <v>0</v>
      </c>
    </row>
    <row r="10" spans="1:4" ht="18" customHeight="1">
      <c r="A10" s="506" t="s">
        <v>33</v>
      </c>
      <c r="B10" s="507" t="s">
        <v>389</v>
      </c>
      <c r="C10" s="508">
        <v>0</v>
      </c>
      <c r="D10" s="509">
        <v>0</v>
      </c>
    </row>
    <row r="11" spans="1:4" ht="18" customHeight="1">
      <c r="A11" s="506" t="s">
        <v>36</v>
      </c>
      <c r="B11" s="507" t="s">
        <v>390</v>
      </c>
      <c r="C11" s="508">
        <v>0</v>
      </c>
      <c r="D11" s="509">
        <v>0</v>
      </c>
    </row>
    <row r="12" spans="1:4" ht="18" customHeight="1">
      <c r="A12" s="506" t="s">
        <v>37</v>
      </c>
      <c r="B12" s="507" t="s">
        <v>391</v>
      </c>
      <c r="C12" s="508">
        <v>18402</v>
      </c>
      <c r="D12" s="509">
        <v>18402</v>
      </c>
    </row>
    <row r="13" spans="1:4" ht="18" customHeight="1">
      <c r="A13" s="506"/>
      <c r="B13" s="507" t="s">
        <v>392</v>
      </c>
      <c r="C13" s="508">
        <v>180</v>
      </c>
      <c r="D13" s="509">
        <v>180</v>
      </c>
    </row>
    <row r="14" spans="1:4" ht="18" customHeight="1">
      <c r="A14" s="506" t="s">
        <v>38</v>
      </c>
      <c r="B14" s="507" t="s">
        <v>393</v>
      </c>
      <c r="C14" s="508">
        <v>0</v>
      </c>
      <c r="D14" s="509">
        <v>0</v>
      </c>
    </row>
    <row r="15" spans="1:4" ht="18" customHeight="1">
      <c r="A15" s="506" t="s">
        <v>39</v>
      </c>
      <c r="B15" s="507" t="s">
        <v>394</v>
      </c>
      <c r="C15" s="510">
        <f>D15*2</f>
        <v>2222</v>
      </c>
      <c r="D15" s="509">
        <v>1111</v>
      </c>
    </row>
    <row r="16" spans="1:4" ht="18" customHeight="1">
      <c r="A16" s="506" t="s">
        <v>69</v>
      </c>
      <c r="B16" s="507" t="s">
        <v>395</v>
      </c>
      <c r="C16" s="508">
        <v>0</v>
      </c>
      <c r="D16" s="509">
        <v>0</v>
      </c>
    </row>
    <row r="17" spans="1:4" ht="18" customHeight="1">
      <c r="A17" s="506" t="s">
        <v>134</v>
      </c>
      <c r="B17" s="507"/>
      <c r="C17" s="510"/>
      <c r="D17" s="511"/>
    </row>
    <row r="18" spans="1:4" ht="18" customHeight="1">
      <c r="A18" s="506" t="s">
        <v>136</v>
      </c>
      <c r="B18" s="507"/>
      <c r="C18" s="510"/>
      <c r="D18" s="511"/>
    </row>
    <row r="19" spans="1:4" ht="18" customHeight="1">
      <c r="A19" s="506" t="s">
        <v>138</v>
      </c>
      <c r="B19" s="507"/>
      <c r="C19" s="510"/>
      <c r="D19" s="511"/>
    </row>
    <row r="20" spans="1:4" ht="18" customHeight="1">
      <c r="A20" s="506" t="s">
        <v>140</v>
      </c>
      <c r="B20" s="507"/>
      <c r="C20" s="510"/>
      <c r="D20" s="511"/>
    </row>
    <row r="21" spans="1:4" ht="18" customHeight="1">
      <c r="A21" s="506" t="s">
        <v>142</v>
      </c>
      <c r="B21" s="507"/>
      <c r="C21" s="510"/>
      <c r="D21" s="511"/>
    </row>
    <row r="22" spans="1:4" ht="18" customHeight="1">
      <c r="A22" s="506" t="s">
        <v>144</v>
      </c>
      <c r="B22" s="507"/>
      <c r="C22" s="510"/>
      <c r="D22" s="511"/>
    </row>
    <row r="23" spans="1:4" ht="18" customHeight="1">
      <c r="A23" s="506" t="s">
        <v>146</v>
      </c>
      <c r="B23" s="507"/>
      <c r="C23" s="510"/>
      <c r="D23" s="511"/>
    </row>
    <row r="24" spans="1:4" ht="18" customHeight="1">
      <c r="A24" s="506" t="s">
        <v>148</v>
      </c>
      <c r="B24" s="507"/>
      <c r="C24" s="510"/>
      <c r="D24" s="511"/>
    </row>
    <row r="25" spans="1:4" ht="18" customHeight="1">
      <c r="A25" s="506" t="s">
        <v>150</v>
      </c>
      <c r="B25" s="507"/>
      <c r="C25" s="510"/>
      <c r="D25" s="511"/>
    </row>
    <row r="26" spans="1:4" ht="18" customHeight="1">
      <c r="A26" s="506" t="s">
        <v>152</v>
      </c>
      <c r="B26" s="507"/>
      <c r="C26" s="510"/>
      <c r="D26" s="511"/>
    </row>
    <row r="27" spans="1:4" ht="18" customHeight="1">
      <c r="A27" s="506" t="s">
        <v>154</v>
      </c>
      <c r="B27" s="507"/>
      <c r="C27" s="510"/>
      <c r="D27" s="511"/>
    </row>
    <row r="28" spans="1:4" ht="18" customHeight="1">
      <c r="A28" s="506" t="s">
        <v>156</v>
      </c>
      <c r="B28" s="507"/>
      <c r="C28" s="510"/>
      <c r="D28" s="511"/>
    </row>
    <row r="29" spans="1:4" ht="18" customHeight="1">
      <c r="A29" s="506" t="s">
        <v>158</v>
      </c>
      <c r="B29" s="507"/>
      <c r="C29" s="510"/>
      <c r="D29" s="511"/>
    </row>
    <row r="30" spans="1:4" ht="18" customHeight="1" thickBot="1">
      <c r="A30" s="512" t="s">
        <v>160</v>
      </c>
      <c r="B30" s="513"/>
      <c r="C30" s="514"/>
      <c r="D30" s="515"/>
    </row>
    <row r="31" spans="1:4" ht="18" customHeight="1" thickBot="1">
      <c r="A31" s="516" t="s">
        <v>162</v>
      </c>
      <c r="B31" s="517" t="s">
        <v>252</v>
      </c>
      <c r="C31" s="518">
        <f>SUM(C4:C30)</f>
        <v>20804</v>
      </c>
      <c r="D31" s="519">
        <f>SUM(D4:D30)</f>
        <v>19693</v>
      </c>
    </row>
    <row r="32" spans="1:4" ht="25.5" customHeight="1">
      <c r="A32" s="520" t="s">
        <v>396</v>
      </c>
      <c r="B32" s="1032" t="s">
        <v>397</v>
      </c>
      <c r="C32" s="1032"/>
      <c r="D32" s="1032"/>
    </row>
  </sheetData>
  <sheetProtection/>
  <mergeCells count="1">
    <mergeCell ref="B32:D32"/>
  </mergeCells>
  <printOptions horizontalCentered="1"/>
  <pageMargins left="0.7874015748031497" right="0.7874015748031497" top="1.63" bottom="0.984251968503937" header="0.7874015748031497" footer="0.7874015748031497"/>
  <pageSetup firstPageNumber="69" useFirstPageNumber="1" horizontalDpi="300" verticalDpi="300" orientation="portrait" paperSize="9" r:id="rId1"/>
  <headerFooter alignWithMargins="0">
    <oddHeader>&amp;C&amp;"Times New Roman CE,Félkövér"&amp;14
&amp;12
Önkormányzat által adott közvetett támogatások
(kedvezmények)
&amp;R&amp;"Times New Roman CE,Dőlt"&amp;11 9 &amp;"Times New Roman CE,Félkövér dőlt". sz. melléklet&amp;"Times New Roman CE,Dőlt"&amp;12
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V.ker.Ökorm.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2012-02-10T08:52:08Z</cp:lastPrinted>
  <dcterms:created xsi:type="dcterms:W3CDTF">2005-01-13T11:36:06Z</dcterms:created>
  <dcterms:modified xsi:type="dcterms:W3CDTF">2012-04-02T07:23:28Z</dcterms:modified>
  <cp:category/>
  <cp:version/>
  <cp:contentType/>
  <cp:contentStatus/>
</cp:coreProperties>
</file>