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19\Képviselő-testület\Rendeletek\3_2019.(II.15.) 2018. költségvetés módosítás\"/>
    </mc:Choice>
  </mc:AlternateContent>
  <bookViews>
    <workbookView xWindow="0" yWindow="0" windowWidth="20400" windowHeight="7755" tabRatio="606" firstSheet="3" activeTab="10"/>
  </bookViews>
  <sheets>
    <sheet name="Mindösszesen" sheetId="6" r:id="rId1"/>
    <sheet name="Hivatal" sheetId="7" r:id="rId2"/>
    <sheet name="Város " sheetId="8" r:id="rId3"/>
    <sheet name="Kostyán" sheetId="15" r:id="rId4"/>
    <sheet name="Könyvtár" sheetId="20" r:id="rId5"/>
    <sheet name="Sportcs." sheetId="16" r:id="rId6"/>
    <sheet name="Gyöngysz." sheetId="42" r:id="rId7"/>
    <sheet name="Szivárvány" sheetId="19" r:id="rId8"/>
    <sheet name="Pingvines" sheetId="41" r:id="rId9"/>
    <sheet name="Munka1" sheetId="43" r:id="rId10"/>
    <sheet name="Munka2" sheetId="4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1Excel_BuiltIn_Print_Area_32_1">#REF!</definedName>
    <definedName name="_2Excel_BuiltIn_Print_Area_33_1">#REF!</definedName>
    <definedName name="Excel_BuiltIn_Print_Area_6">#REF!</definedName>
    <definedName name="_xlnm.Print_Titles" localSheetId="1">Hivatal!$A:$B</definedName>
    <definedName name="_xlnm.Print_Titles" localSheetId="2">'Város '!$A:$B,'Város '!$3:$7</definedName>
    <definedName name="_xlnm.Print_Area" localSheetId="6">Gyöngysz.!$A$1:$AH$39</definedName>
    <definedName name="_xlnm.Print_Area" localSheetId="1">Hivatal!$A$1:$AC$39</definedName>
    <definedName name="_xlnm.Print_Area" localSheetId="3">Kostyán!$A$1:$AQ$39</definedName>
    <definedName name="_xlnm.Print_Area" localSheetId="4">Könyvtár!$A$1:$BJ$39</definedName>
    <definedName name="_xlnm.Print_Area" localSheetId="0">Mindösszesen!$A$1:$AX$45</definedName>
    <definedName name="_xlnm.Print_Area" localSheetId="8">Pingvines!$A$1:$AM$39</definedName>
    <definedName name="_xlnm.Print_Area" localSheetId="5">Sportcs.!$A$1:$L$39</definedName>
    <definedName name="_xlnm.Print_Area" localSheetId="7">Szivárvány!$A$1:$AQ$39</definedName>
    <definedName name="_xlnm.Print_Area" localSheetId="2">'Város '!$A$1:$GY$41</definedName>
  </definedNames>
  <calcPr calcId="152511"/>
</workbook>
</file>

<file path=xl/calcChain.xml><?xml version="1.0" encoding="utf-8"?>
<calcChain xmlns="http://schemas.openxmlformats.org/spreadsheetml/2006/main">
  <c r="AW43" i="6" l="1"/>
  <c r="AW27" i="6"/>
  <c r="AK45" i="6"/>
  <c r="AW45" i="6" s="1"/>
  <c r="AL45" i="6" l="1"/>
  <c r="M11" i="8" l="1"/>
  <c r="GX10" i="8"/>
  <c r="AK12" i="6" s="1"/>
  <c r="GX11" i="8"/>
  <c r="GX12" i="8"/>
  <c r="AK14" i="6" s="1"/>
  <c r="GX14" i="8"/>
  <c r="AK16" i="6" s="1"/>
  <c r="GX17" i="8"/>
  <c r="AK19" i="6" s="1"/>
  <c r="GX18" i="8"/>
  <c r="AK20" i="6" s="1"/>
  <c r="GX20" i="8"/>
  <c r="AK22" i="6" s="1"/>
  <c r="GX21" i="8"/>
  <c r="GX22" i="8"/>
  <c r="M13" i="8"/>
  <c r="GX13" i="8" s="1"/>
  <c r="AK15" i="6" s="1"/>
  <c r="AK13" i="6" l="1"/>
  <c r="X16" i="8"/>
  <c r="GX16" i="8" s="1"/>
  <c r="GX24" i="8"/>
  <c r="GX25" i="8"/>
  <c r="AK28" i="6" s="1"/>
  <c r="GX26" i="8"/>
  <c r="AK29" i="6" s="1"/>
  <c r="GX27" i="8"/>
  <c r="AK30" i="6" s="1"/>
  <c r="GX28" i="8"/>
  <c r="GX29" i="8"/>
  <c r="AK32" i="6" s="1"/>
  <c r="GX31" i="8"/>
  <c r="AK34" i="6" s="1"/>
  <c r="GX32" i="8"/>
  <c r="GX33" i="8"/>
  <c r="AK36" i="6" s="1"/>
  <c r="GX35" i="8"/>
  <c r="AK38" i="6" s="1"/>
  <c r="GX36" i="8"/>
  <c r="AK39" i="6" s="1"/>
  <c r="GX37" i="8"/>
  <c r="AK40" i="6" s="1"/>
  <c r="GX38" i="8"/>
  <c r="GX39" i="8"/>
  <c r="GX41" i="8"/>
  <c r="GX9" i="8"/>
  <c r="AK11" i="6" s="1"/>
  <c r="FR19" i="8"/>
  <c r="FR23" i="8" s="1"/>
  <c r="FH26" i="8"/>
  <c r="FH27" i="8"/>
  <c r="FH28" i="8"/>
  <c r="FH29" i="8"/>
  <c r="FH30" i="8"/>
  <c r="FH31" i="8"/>
  <c r="FH32" i="8"/>
  <c r="FH33" i="8"/>
  <c r="FH34" i="8"/>
  <c r="FH35" i="8"/>
  <c r="FH36" i="8"/>
  <c r="FH37" i="8"/>
  <c r="FH38" i="8"/>
  <c r="FH39" i="8"/>
  <c r="FH40" i="8"/>
  <c r="FH41" i="8"/>
  <c r="FH25" i="8"/>
  <c r="AK18" i="6" l="1"/>
  <c r="GX19" i="8"/>
  <c r="AK21" i="6" s="1"/>
  <c r="X19" i="8"/>
  <c r="GX15" i="8"/>
  <c r="AK17" i="6" s="1"/>
  <c r="AK35" i="6"/>
  <c r="GX34" i="8"/>
  <c r="AK37" i="6" s="1"/>
  <c r="AK31" i="6"/>
  <c r="GX30" i="8"/>
  <c r="GX23" i="8"/>
  <c r="FV19" i="8"/>
  <c r="FV23" i="8" s="1"/>
  <c r="FG23" i="8"/>
  <c r="FH12" i="8"/>
  <c r="FH13" i="8"/>
  <c r="FH14" i="8"/>
  <c r="FH15" i="8"/>
  <c r="FH16" i="8"/>
  <c r="FH17" i="8"/>
  <c r="FH18" i="8"/>
  <c r="FH19" i="8"/>
  <c r="FH20" i="8"/>
  <c r="FH21" i="8"/>
  <c r="FH22" i="8"/>
  <c r="FH23" i="8"/>
  <c r="FH11" i="8"/>
  <c r="AK33" i="6" l="1"/>
  <c r="GX40" i="8"/>
  <c r="AK24" i="6"/>
  <c r="AK26" i="6" s="1"/>
  <c r="GY41" i="8"/>
  <c r="AK42" i="6" l="1"/>
  <c r="AW26" i="6"/>
  <c r="CV15" i="8"/>
  <c r="BX10" i="8"/>
  <c r="BX11" i="8"/>
  <c r="BX12" i="8"/>
  <c r="BX13" i="8"/>
  <c r="BX14" i="8"/>
  <c r="BX16" i="8"/>
  <c r="BX17" i="8"/>
  <c r="BX18" i="8"/>
  <c r="BX20" i="8"/>
  <c r="BX21" i="8"/>
  <c r="BX22" i="8"/>
  <c r="BX24" i="8"/>
  <c r="BX25" i="8"/>
  <c r="BX26" i="8"/>
  <c r="BX27" i="8"/>
  <c r="BX28" i="8"/>
  <c r="BX29" i="8"/>
  <c r="BX31" i="8"/>
  <c r="BX32" i="8"/>
  <c r="BX33" i="8"/>
  <c r="BX36" i="8"/>
  <c r="BX37" i="8"/>
  <c r="BX38" i="8"/>
  <c r="BX39" i="8"/>
  <c r="BX9" i="8"/>
  <c r="EJ10" i="8"/>
  <c r="EJ11" i="8"/>
  <c r="EJ12" i="8"/>
  <c r="EJ13" i="8"/>
  <c r="EJ14" i="8"/>
  <c r="EJ15" i="8"/>
  <c r="EJ16" i="8"/>
  <c r="EJ17" i="8"/>
  <c r="EJ18" i="8"/>
  <c r="EJ19" i="8"/>
  <c r="EJ20" i="8"/>
  <c r="EJ21" i="8"/>
  <c r="EJ22" i="8"/>
  <c r="EJ23" i="8"/>
  <c r="EJ24" i="8"/>
  <c r="EJ25" i="8"/>
  <c r="EJ26" i="8"/>
  <c r="EJ27" i="8"/>
  <c r="EJ28" i="8"/>
  <c r="EJ29" i="8"/>
  <c r="EJ31" i="8"/>
  <c r="EJ32" i="8"/>
  <c r="EJ33" i="8"/>
  <c r="EJ34" i="8"/>
  <c r="EJ35" i="8"/>
  <c r="EJ36" i="8"/>
  <c r="EJ37" i="8"/>
  <c r="EJ38" i="8"/>
  <c r="EJ39" i="8"/>
  <c r="EJ40" i="8"/>
  <c r="EJ9" i="8"/>
  <c r="EE10" i="8"/>
  <c r="EE11" i="8"/>
  <c r="EE12" i="8"/>
  <c r="EE13" i="8"/>
  <c r="EE14" i="8"/>
  <c r="EE16" i="8"/>
  <c r="EE17" i="8"/>
  <c r="EE18" i="8"/>
  <c r="EE20" i="8"/>
  <c r="EE21" i="8"/>
  <c r="EE22" i="8"/>
  <c r="EE24" i="8"/>
  <c r="EE25" i="8"/>
  <c r="EE26" i="8"/>
  <c r="EE27" i="8"/>
  <c r="EE28" i="8"/>
  <c r="EE29" i="8"/>
  <c r="EE31" i="8"/>
  <c r="EE32" i="8"/>
  <c r="EE33" i="8"/>
  <c r="EE36" i="8"/>
  <c r="EE37" i="8"/>
  <c r="EE38" i="8"/>
  <c r="EE39" i="8"/>
  <c r="EE9" i="8"/>
  <c r="DB10" i="8"/>
  <c r="DB11" i="8"/>
  <c r="DB12" i="8"/>
  <c r="DB13" i="8"/>
  <c r="DB14" i="8"/>
  <c r="DB16" i="8"/>
  <c r="DB17" i="8"/>
  <c r="DB18" i="8"/>
  <c r="DB20" i="8"/>
  <c r="DB21" i="8"/>
  <c r="DB22" i="8"/>
  <c r="DB24" i="8"/>
  <c r="DB25" i="8"/>
  <c r="DB26" i="8"/>
  <c r="DB27" i="8"/>
  <c r="DB28" i="8"/>
  <c r="DB29" i="8"/>
  <c r="DB31" i="8"/>
  <c r="DB32" i="8"/>
  <c r="DB33" i="8"/>
  <c r="DB36" i="8"/>
  <c r="DB37" i="8"/>
  <c r="DB38" i="8"/>
  <c r="DB39" i="8"/>
  <c r="DB41" i="8"/>
  <c r="DB9" i="8"/>
  <c r="CK10" i="8"/>
  <c r="CK11" i="8"/>
  <c r="CK12" i="8"/>
  <c r="CK13" i="8"/>
  <c r="CK14" i="8"/>
  <c r="CK16" i="8"/>
  <c r="CK17" i="8"/>
  <c r="CK18" i="8"/>
  <c r="CK20" i="8"/>
  <c r="CK21" i="8"/>
  <c r="CK22" i="8"/>
  <c r="CK24" i="8"/>
  <c r="CK25" i="8"/>
  <c r="CK26" i="8"/>
  <c r="CK27" i="8"/>
  <c r="CK28" i="8"/>
  <c r="CK29" i="8"/>
  <c r="CK31" i="8"/>
  <c r="CK32" i="8"/>
  <c r="CK33" i="8"/>
  <c r="CK36" i="8"/>
  <c r="CK37" i="8"/>
  <c r="CK38" i="8"/>
  <c r="CK39" i="8"/>
  <c r="CK41" i="8"/>
  <c r="CK9" i="8"/>
  <c r="CB23" i="8"/>
  <c r="CC10" i="8"/>
  <c r="CC11" i="8"/>
  <c r="CC12" i="8"/>
  <c r="CC13" i="8"/>
  <c r="CC14" i="8"/>
  <c r="CC16" i="8"/>
  <c r="CC17" i="8"/>
  <c r="CC18" i="8"/>
  <c r="CC20" i="8"/>
  <c r="CC21" i="8"/>
  <c r="CC22" i="8"/>
  <c r="CC24" i="8"/>
  <c r="CC25" i="8"/>
  <c r="CC26" i="8"/>
  <c r="CC27" i="8"/>
  <c r="CC28" i="8"/>
  <c r="CC29" i="8"/>
  <c r="CC31" i="8"/>
  <c r="CC32" i="8"/>
  <c r="CC33" i="8"/>
  <c r="CC36" i="8"/>
  <c r="CC37" i="8"/>
  <c r="CC38" i="8"/>
  <c r="CC39" i="8"/>
  <c r="CC41" i="8"/>
  <c r="CC9" i="8"/>
  <c r="BF15" i="8"/>
  <c r="AW10" i="8"/>
  <c r="AW11" i="8"/>
  <c r="AW12" i="8"/>
  <c r="AW13" i="8"/>
  <c r="AW14" i="8"/>
  <c r="AW16" i="8"/>
  <c r="AW17" i="8"/>
  <c r="AW18" i="8"/>
  <c r="AW20" i="8"/>
  <c r="AW21" i="8"/>
  <c r="AW22" i="8"/>
  <c r="AW24" i="8"/>
  <c r="AW25" i="8"/>
  <c r="AW26" i="8"/>
  <c r="AW27" i="8"/>
  <c r="AW28" i="8"/>
  <c r="AW29" i="8"/>
  <c r="AW31" i="8"/>
  <c r="AW32" i="8"/>
  <c r="AW33" i="8"/>
  <c r="AW36" i="8"/>
  <c r="AW37" i="8"/>
  <c r="AW38" i="8"/>
  <c r="AW39" i="8"/>
  <c r="AW41" i="8"/>
  <c r="AW9" i="8"/>
  <c r="AQ23" i="8"/>
  <c r="AR10" i="8"/>
  <c r="AR11" i="8"/>
  <c r="AR12" i="8"/>
  <c r="AR13" i="8"/>
  <c r="AR14" i="8"/>
  <c r="AR16" i="8"/>
  <c r="AR17" i="8"/>
  <c r="AR18" i="8"/>
  <c r="AR20" i="8"/>
  <c r="AR21" i="8"/>
  <c r="AR22" i="8"/>
  <c r="AR24" i="8"/>
  <c r="AR25" i="8"/>
  <c r="AR26" i="8"/>
  <c r="AR27" i="8"/>
  <c r="AR28" i="8"/>
  <c r="AR29" i="8"/>
  <c r="AR31" i="8"/>
  <c r="AR32" i="8"/>
  <c r="AR33" i="8"/>
  <c r="AR36" i="8"/>
  <c r="AR37" i="8"/>
  <c r="AR38" i="8"/>
  <c r="AR39" i="8"/>
  <c r="AR41" i="8"/>
  <c r="AR9" i="8"/>
  <c r="BS10" i="8"/>
  <c r="BS11" i="8"/>
  <c r="BS12" i="8"/>
  <c r="BS13" i="8"/>
  <c r="BS14" i="8"/>
  <c r="BS16" i="8"/>
  <c r="BS17" i="8"/>
  <c r="BS18" i="8"/>
  <c r="BS20" i="8"/>
  <c r="BS21" i="8"/>
  <c r="BS22" i="8"/>
  <c r="BS24" i="8"/>
  <c r="BS25" i="8"/>
  <c r="BS26" i="8"/>
  <c r="BS27" i="8"/>
  <c r="BS28" i="8"/>
  <c r="BS29" i="8"/>
  <c r="BS31" i="8"/>
  <c r="BS32" i="8"/>
  <c r="BS33" i="8"/>
  <c r="BS36" i="8"/>
  <c r="BS37" i="8"/>
  <c r="BS38" i="8"/>
  <c r="BS39" i="8"/>
  <c r="BS9" i="8"/>
  <c r="AE23" i="8"/>
  <c r="GK10" i="8"/>
  <c r="GK11" i="8"/>
  <c r="GK12" i="8"/>
  <c r="GK13" i="8"/>
  <c r="GK14" i="8"/>
  <c r="GK15" i="8"/>
  <c r="GK16" i="8"/>
  <c r="GK17" i="8"/>
  <c r="GK18" i="8"/>
  <c r="GK19" i="8"/>
  <c r="GK20" i="8"/>
  <c r="GK21" i="8"/>
  <c r="GK22" i="8"/>
  <c r="GK23" i="8"/>
  <c r="GK24" i="8"/>
  <c r="GK25" i="8"/>
  <c r="GK26" i="8"/>
  <c r="GK27" i="8"/>
  <c r="GK28" i="8"/>
  <c r="GK29" i="8"/>
  <c r="GK30" i="8"/>
  <c r="GK31" i="8"/>
  <c r="GK32" i="8"/>
  <c r="GK33" i="8"/>
  <c r="GK34" i="8"/>
  <c r="GK35" i="8"/>
  <c r="GK36" i="8"/>
  <c r="GK37" i="8"/>
  <c r="GK38" i="8"/>
  <c r="GK39" i="8"/>
  <c r="GK40" i="8"/>
  <c r="GK41" i="8"/>
  <c r="GK9" i="8"/>
  <c r="FK19" i="8"/>
  <c r="FK23" i="8" s="1"/>
  <c r="DZ24" i="8"/>
  <c r="DZ25" i="8"/>
  <c r="DZ26" i="8"/>
  <c r="DZ27" i="8"/>
  <c r="DZ28" i="8"/>
  <c r="DZ29" i="8"/>
  <c r="DZ30" i="8"/>
  <c r="DZ31" i="8"/>
  <c r="DZ32" i="8"/>
  <c r="DZ33" i="8"/>
  <c r="DZ34" i="8"/>
  <c r="DZ35" i="8"/>
  <c r="DZ36" i="8"/>
  <c r="DZ37" i="8"/>
  <c r="DZ38" i="8"/>
  <c r="DZ39" i="8"/>
  <c r="DZ40" i="8"/>
  <c r="DZ41" i="8"/>
  <c r="BN41" i="8"/>
  <c r="DH30" i="8"/>
  <c r="DL40" i="8"/>
  <c r="X30" i="8"/>
  <c r="X15" i="8"/>
  <c r="I40" i="8"/>
  <c r="AK44" i="6" l="1"/>
  <c r="X40" i="8"/>
  <c r="X23" i="8"/>
  <c r="M30" i="8"/>
  <c r="M15" i="8"/>
  <c r="M40" i="8" l="1"/>
  <c r="AM10" i="42"/>
  <c r="AM11" i="42"/>
  <c r="AM12" i="42"/>
  <c r="AM13" i="42"/>
  <c r="AM14" i="42"/>
  <c r="AM16" i="42"/>
  <c r="AM17" i="42"/>
  <c r="AM18" i="42"/>
  <c r="AM19" i="42"/>
  <c r="AM20" i="42"/>
  <c r="AM21" i="42"/>
  <c r="AM23" i="42"/>
  <c r="AM24" i="42"/>
  <c r="AM25" i="42"/>
  <c r="AM26" i="42"/>
  <c r="AM27" i="42"/>
  <c r="AM28" i="42"/>
  <c r="AM29" i="42"/>
  <c r="AM30" i="42"/>
  <c r="AM31" i="42"/>
  <c r="AM32" i="42"/>
  <c r="AM33" i="42"/>
  <c r="AM34" i="42"/>
  <c r="AM35" i="42"/>
  <c r="AM36" i="42"/>
  <c r="AM37" i="42"/>
  <c r="AM38" i="42"/>
  <c r="AM39" i="42"/>
  <c r="AM9" i="42"/>
  <c r="V10" i="42"/>
  <c r="V11" i="42"/>
  <c r="V12" i="42"/>
  <c r="V13" i="42"/>
  <c r="V14" i="42"/>
  <c r="V16" i="42"/>
  <c r="V17" i="42"/>
  <c r="V18" i="42"/>
  <c r="V19" i="42"/>
  <c r="V20" i="42"/>
  <c r="V21" i="42"/>
  <c r="V23" i="42"/>
  <c r="V24" i="42"/>
  <c r="V25" i="42"/>
  <c r="V26" i="42"/>
  <c r="V27" i="42"/>
  <c r="V28" i="42"/>
  <c r="V29" i="42"/>
  <c r="V30" i="42"/>
  <c r="V31" i="42"/>
  <c r="V32" i="42"/>
  <c r="V33" i="42"/>
  <c r="V34" i="42"/>
  <c r="V35" i="42"/>
  <c r="V36" i="42"/>
  <c r="V37" i="42"/>
  <c r="V38" i="42"/>
  <c r="V39" i="42"/>
  <c r="V9" i="42"/>
  <c r="M15" i="42"/>
  <c r="AV10" i="19"/>
  <c r="AV11" i="19"/>
  <c r="AV12" i="19"/>
  <c r="AV13" i="19"/>
  <c r="AV14" i="19"/>
  <c r="AV16" i="19"/>
  <c r="AV17" i="19"/>
  <c r="AV18" i="19"/>
  <c r="AV19" i="19"/>
  <c r="AV20" i="19"/>
  <c r="AV21" i="19"/>
  <c r="AV23" i="19"/>
  <c r="AV24" i="19"/>
  <c r="AV25" i="19"/>
  <c r="AV26" i="19"/>
  <c r="AV27" i="19"/>
  <c r="AV28" i="19"/>
  <c r="AV29" i="19"/>
  <c r="AV30" i="19"/>
  <c r="AV31" i="19"/>
  <c r="AV32" i="19"/>
  <c r="AV33" i="19"/>
  <c r="AV34" i="19"/>
  <c r="AV35" i="19"/>
  <c r="AV36" i="19"/>
  <c r="AV37" i="19"/>
  <c r="AV38" i="19"/>
  <c r="AV39" i="19"/>
  <c r="AV9" i="19"/>
  <c r="AK15" i="19"/>
  <c r="AK22" i="19" s="1"/>
  <c r="AL39" i="19"/>
  <c r="Z15" i="19"/>
  <c r="Z22" i="19" s="1"/>
  <c r="Q22" i="19"/>
  <c r="R22" i="19" s="1"/>
  <c r="Q15" i="19"/>
  <c r="R10" i="19"/>
  <c r="R11" i="19"/>
  <c r="R12" i="19"/>
  <c r="R13" i="19"/>
  <c r="R14" i="19"/>
  <c r="R16" i="19"/>
  <c r="R17" i="19"/>
  <c r="R18" i="19"/>
  <c r="R19" i="19"/>
  <c r="R20" i="19"/>
  <c r="R21" i="19"/>
  <c r="R23" i="19"/>
  <c r="R24" i="19"/>
  <c r="R25" i="19"/>
  <c r="R26" i="19"/>
  <c r="R27" i="19"/>
  <c r="R28" i="19"/>
  <c r="R29" i="19"/>
  <c r="R30" i="19"/>
  <c r="R31" i="19"/>
  <c r="R32" i="19"/>
  <c r="R33" i="19"/>
  <c r="R34" i="19"/>
  <c r="R35" i="19"/>
  <c r="R36" i="19"/>
  <c r="R37" i="19"/>
  <c r="R38" i="19"/>
  <c r="R39" i="19"/>
  <c r="R9" i="19"/>
  <c r="J22" i="19"/>
  <c r="J15" i="19"/>
  <c r="AV15" i="19" s="1"/>
  <c r="AT10" i="41"/>
  <c r="AT11" i="41"/>
  <c r="AT12" i="41"/>
  <c r="AT13" i="41"/>
  <c r="AT14" i="41"/>
  <c r="AT16" i="41"/>
  <c r="AT17" i="41"/>
  <c r="AT18" i="41"/>
  <c r="AT20" i="41"/>
  <c r="AT21" i="41"/>
  <c r="AT23" i="41"/>
  <c r="AT24" i="41"/>
  <c r="AT25" i="41"/>
  <c r="AT26" i="41"/>
  <c r="AT27" i="41"/>
  <c r="AT28" i="41"/>
  <c r="AT29" i="41"/>
  <c r="AT30" i="41"/>
  <c r="AT31" i="41"/>
  <c r="AT32" i="41"/>
  <c r="AT33" i="41"/>
  <c r="AT34" i="41"/>
  <c r="AT35" i="41"/>
  <c r="AT36" i="41"/>
  <c r="AT37" i="41"/>
  <c r="AT38" i="41"/>
  <c r="AT39" i="41"/>
  <c r="AT9" i="41"/>
  <c r="AI15" i="41"/>
  <c r="AI22" i="41" s="1"/>
  <c r="X22" i="41"/>
  <c r="X15" i="41"/>
  <c r="P15" i="41"/>
  <c r="O15" i="41"/>
  <c r="J19" i="41"/>
  <c r="AT19" i="41" s="1"/>
  <c r="J15" i="41"/>
  <c r="J22" i="41" s="1"/>
  <c r="K39" i="41"/>
  <c r="AM15" i="42" l="1"/>
  <c r="M22" i="42"/>
  <c r="AM22" i="42" s="1"/>
  <c r="AV22" i="19"/>
  <c r="AT22" i="41"/>
  <c r="AT15" i="41"/>
  <c r="BQ10" i="20"/>
  <c r="BQ11" i="20"/>
  <c r="BQ12" i="20"/>
  <c r="BQ13" i="20"/>
  <c r="BQ14" i="20"/>
  <c r="BQ16" i="20"/>
  <c r="BQ17" i="20"/>
  <c r="BQ18" i="20"/>
  <c r="BQ19" i="20"/>
  <c r="BQ20" i="20"/>
  <c r="BQ21" i="20"/>
  <c r="BQ23" i="20"/>
  <c r="BQ24" i="20"/>
  <c r="BQ25" i="20"/>
  <c r="BQ26" i="20"/>
  <c r="BQ27" i="20"/>
  <c r="BQ28" i="20"/>
  <c r="BQ30" i="20"/>
  <c r="BQ31" i="20"/>
  <c r="BQ32" i="20"/>
  <c r="BQ33" i="20"/>
  <c r="BQ34" i="20"/>
  <c r="BQ35" i="20"/>
  <c r="BQ36" i="20"/>
  <c r="BQ37" i="20"/>
  <c r="BQ39" i="20"/>
  <c r="BQ9" i="20"/>
  <c r="BF15" i="20"/>
  <c r="BF22" i="20" s="1"/>
  <c r="AW15" i="20"/>
  <c r="AW22" i="20" s="1"/>
  <c r="AX22" i="20" s="1"/>
  <c r="AX39" i="20"/>
  <c r="AX10" i="20"/>
  <c r="AX11" i="20"/>
  <c r="AX12" i="20"/>
  <c r="AX13" i="20"/>
  <c r="AX14" i="20"/>
  <c r="AX16" i="20"/>
  <c r="AX17" i="20"/>
  <c r="AX18" i="20"/>
  <c r="AX19" i="20"/>
  <c r="AX20" i="20"/>
  <c r="AX21" i="20"/>
  <c r="AX23" i="20"/>
  <c r="AX24" i="20"/>
  <c r="AX25" i="20"/>
  <c r="AX26" i="20"/>
  <c r="AX27" i="20"/>
  <c r="AX28" i="20"/>
  <c r="AX29" i="20"/>
  <c r="AX30" i="20"/>
  <c r="AX31" i="20"/>
  <c r="AX32" i="20"/>
  <c r="AX33" i="20"/>
  <c r="AX34" i="20"/>
  <c r="AX35" i="20"/>
  <c r="AX36" i="20"/>
  <c r="AX37" i="20"/>
  <c r="AX38" i="20"/>
  <c r="AX9" i="20"/>
  <c r="AQ38" i="20"/>
  <c r="AQ15" i="20"/>
  <c r="AQ22" i="20" s="1"/>
  <c r="AR34" i="20"/>
  <c r="AJ38" i="20"/>
  <c r="AC29" i="20" l="1"/>
  <c r="BQ29" i="20" s="1"/>
  <c r="AC15" i="20"/>
  <c r="AC22" i="20" s="1"/>
  <c r="AC38" i="20" l="1"/>
  <c r="T15" i="20"/>
  <c r="T22" i="20" s="1"/>
  <c r="U39" i="20"/>
  <c r="L38" i="20"/>
  <c r="BQ38" i="20" s="1"/>
  <c r="M39" i="20"/>
  <c r="AV10" i="15" l="1"/>
  <c r="AV11" i="15"/>
  <c r="AV12" i="15"/>
  <c r="AV13" i="15"/>
  <c r="AV14" i="15"/>
  <c r="AV16" i="15"/>
  <c r="AV17" i="15"/>
  <c r="AV18" i="15"/>
  <c r="AV19" i="15"/>
  <c r="AV20" i="15"/>
  <c r="AV21" i="15"/>
  <c r="AV23" i="15"/>
  <c r="AV24" i="15"/>
  <c r="AV25" i="15"/>
  <c r="AV26" i="15"/>
  <c r="AV27" i="15"/>
  <c r="AV28" i="15"/>
  <c r="AV30" i="15"/>
  <c r="AV31" i="15"/>
  <c r="AV32" i="15"/>
  <c r="AV33" i="15"/>
  <c r="AV34" i="15"/>
  <c r="AV35" i="15"/>
  <c r="AV36" i="15"/>
  <c r="AV37" i="15"/>
  <c r="AV39" i="15"/>
  <c r="AV9" i="15"/>
  <c r="AG15" i="15"/>
  <c r="X29" i="15"/>
  <c r="X15" i="15"/>
  <c r="O29" i="15"/>
  <c r="AV29" i="15" s="1"/>
  <c r="O15" i="15"/>
  <c r="X22" i="15" l="1"/>
  <c r="AV22" i="15" s="1"/>
  <c r="AV15" i="15"/>
  <c r="N45" i="6"/>
  <c r="AJ10" i="7" l="1"/>
  <c r="M12" i="6" s="1"/>
  <c r="AJ12" i="7"/>
  <c r="M14" i="6" s="1"/>
  <c r="AJ13" i="7"/>
  <c r="M15" i="6" s="1"/>
  <c r="AJ14" i="7"/>
  <c r="M16" i="6" s="1"/>
  <c r="AJ16" i="7"/>
  <c r="M18" i="6" s="1"/>
  <c r="AJ17" i="7"/>
  <c r="M19" i="6" s="1"/>
  <c r="AJ18" i="7"/>
  <c r="M20" i="6" s="1"/>
  <c r="AJ19" i="7"/>
  <c r="M21" i="6" s="1"/>
  <c r="AJ20" i="7"/>
  <c r="M22" i="6" s="1"/>
  <c r="AJ21" i="7"/>
  <c r="M23" i="6" s="1"/>
  <c r="AJ23" i="7"/>
  <c r="AJ24" i="7"/>
  <c r="M28" i="6" s="1"/>
  <c r="AJ25" i="7"/>
  <c r="M29" i="6" s="1"/>
  <c r="AJ26" i="7"/>
  <c r="M30" i="6" s="1"/>
  <c r="AJ27" i="7"/>
  <c r="M31" i="6" s="1"/>
  <c r="AJ28" i="7"/>
  <c r="M32" i="6" s="1"/>
  <c r="AJ29" i="7"/>
  <c r="M33" i="6" s="1"/>
  <c r="AJ30" i="7"/>
  <c r="M34" i="6" s="1"/>
  <c r="AJ31" i="7"/>
  <c r="M35" i="6" s="1"/>
  <c r="AJ32" i="7"/>
  <c r="M36" i="6" s="1"/>
  <c r="AJ33" i="7"/>
  <c r="M37" i="6" s="1"/>
  <c r="AJ34" i="7"/>
  <c r="AJ35" i="7"/>
  <c r="AJ36" i="7"/>
  <c r="M40" i="6" s="1"/>
  <c r="AJ37" i="7"/>
  <c r="M41" i="6" s="1"/>
  <c r="AJ38" i="7"/>
  <c r="AJ39" i="7"/>
  <c r="AK39" i="7" s="1"/>
  <c r="AJ9" i="7"/>
  <c r="Q22" i="7"/>
  <c r="Q15" i="7"/>
  <c r="R15" i="7" s="1"/>
  <c r="R10" i="7"/>
  <c r="R11" i="7"/>
  <c r="R12" i="7"/>
  <c r="R13" i="7"/>
  <c r="R14" i="7"/>
  <c r="R16" i="7"/>
  <c r="R17" i="7"/>
  <c r="R18" i="7"/>
  <c r="R20" i="7"/>
  <c r="R21" i="7"/>
  <c r="R23" i="7"/>
  <c r="R24" i="7"/>
  <c r="R25" i="7"/>
  <c r="R26" i="7"/>
  <c r="R27" i="7"/>
  <c r="R28" i="7"/>
  <c r="R30" i="7"/>
  <c r="R31" i="7"/>
  <c r="R32" i="7"/>
  <c r="R34" i="7"/>
  <c r="R35" i="7"/>
  <c r="R36" i="7"/>
  <c r="R37" i="7"/>
  <c r="R9" i="7"/>
  <c r="L11" i="7"/>
  <c r="L15" i="7" s="1"/>
  <c r="L22" i="7" s="1"/>
  <c r="AJ22" i="7" s="1"/>
  <c r="M24" i="6" l="1"/>
  <c r="AW29" i="6"/>
  <c r="AJ11" i="7"/>
  <c r="M13" i="6" s="1"/>
  <c r="M11" i="6"/>
  <c r="AW32" i="6"/>
  <c r="AW21" i="6"/>
  <c r="M39" i="6"/>
  <c r="M38" i="6"/>
  <c r="M42" i="6" s="1"/>
  <c r="AW14" i="6"/>
  <c r="AJ15" i="7"/>
  <c r="M39" i="7"/>
  <c r="L36" i="16"/>
  <c r="K10" i="16"/>
  <c r="Y12" i="6" s="1"/>
  <c r="AW12" i="6" s="1"/>
  <c r="K11" i="16"/>
  <c r="Y13" i="6" s="1"/>
  <c r="AW13" i="6" s="1"/>
  <c r="K12" i="16"/>
  <c r="Y14" i="6" s="1"/>
  <c r="K13" i="16"/>
  <c r="Y15" i="6" s="1"/>
  <c r="AW15" i="6" s="1"/>
  <c r="K14" i="16"/>
  <c r="Y16" i="6" s="1"/>
  <c r="AW16" i="6" s="1"/>
  <c r="K15" i="16"/>
  <c r="L15" i="16" s="1"/>
  <c r="K16" i="16"/>
  <c r="Y18" i="6" s="1"/>
  <c r="AW18" i="6" s="1"/>
  <c r="K17" i="16"/>
  <c r="Y19" i="6" s="1"/>
  <c r="AW19" i="6" s="1"/>
  <c r="K18" i="16"/>
  <c r="Y20" i="6" s="1"/>
  <c r="AW20" i="6" s="1"/>
  <c r="K19" i="16"/>
  <c r="Y21" i="6" s="1"/>
  <c r="K20" i="16"/>
  <c r="Y22" i="6" s="1"/>
  <c r="AW22" i="6" s="1"/>
  <c r="K21" i="16"/>
  <c r="Y23" i="6" s="1"/>
  <c r="K22" i="16"/>
  <c r="L22" i="16" s="1"/>
  <c r="K23" i="16"/>
  <c r="Y25" i="6" s="1"/>
  <c r="K24" i="16"/>
  <c r="Y28" i="6" s="1"/>
  <c r="AW28" i="6" s="1"/>
  <c r="K25" i="16"/>
  <c r="Y29" i="6" s="1"/>
  <c r="K26" i="16"/>
  <c r="Y30" i="6" s="1"/>
  <c r="AW30" i="6" s="1"/>
  <c r="K27" i="16"/>
  <c r="Y31" i="6" s="1"/>
  <c r="AW31" i="6" s="1"/>
  <c r="K28" i="16"/>
  <c r="Y32" i="6" s="1"/>
  <c r="K29" i="16"/>
  <c r="Y33" i="6" s="1"/>
  <c r="K30" i="16"/>
  <c r="Y34" i="6" s="1"/>
  <c r="AW34" i="6" s="1"/>
  <c r="K31" i="16"/>
  <c r="Y35" i="6" s="1"/>
  <c r="AW35" i="6" s="1"/>
  <c r="K32" i="16"/>
  <c r="Y36" i="6" s="1"/>
  <c r="AW36" i="6" s="1"/>
  <c r="K33" i="16"/>
  <c r="Y37" i="6" s="1"/>
  <c r="AW37" i="6" s="1"/>
  <c r="K34" i="16"/>
  <c r="Y38" i="6" s="1"/>
  <c r="AW38" i="6" s="1"/>
  <c r="K35" i="16"/>
  <c r="Y39" i="6" s="1"/>
  <c r="K36" i="16"/>
  <c r="Y40" i="6" s="1"/>
  <c r="AW40" i="6" s="1"/>
  <c r="K37" i="16"/>
  <c r="Y41" i="6" s="1"/>
  <c r="K38" i="16"/>
  <c r="L38" i="16" s="1"/>
  <c r="K39" i="16"/>
  <c r="K9" i="16"/>
  <c r="Y11" i="6" s="1"/>
  <c r="AW11" i="6" s="1"/>
  <c r="G15" i="16"/>
  <c r="M44" i="6" l="1"/>
  <c r="AW42" i="6"/>
  <c r="L34" i="16"/>
  <c r="M17" i="6"/>
  <c r="AW39" i="6"/>
  <c r="Y42" i="6"/>
  <c r="Y44" i="6" s="1"/>
  <c r="AW44" i="6" s="1"/>
  <c r="L11" i="16"/>
  <c r="AW33" i="6"/>
  <c r="AU25" i="6"/>
  <c r="AU27" i="6"/>
  <c r="AU43" i="6"/>
  <c r="AI22" i="6"/>
  <c r="AI23" i="6"/>
  <c r="DX10" i="8"/>
  <c r="DZ10" i="8" s="1"/>
  <c r="DX11" i="8"/>
  <c r="DZ11" i="8" s="1"/>
  <c r="DX12" i="8"/>
  <c r="DZ12" i="8" s="1"/>
  <c r="DX13" i="8"/>
  <c r="DZ13" i="8" s="1"/>
  <c r="DX14" i="8"/>
  <c r="DZ14" i="8" s="1"/>
  <c r="DX15" i="8"/>
  <c r="DZ15" i="8" s="1"/>
  <c r="DX16" i="8"/>
  <c r="DZ16" i="8" s="1"/>
  <c r="DX17" i="8"/>
  <c r="DZ17" i="8" s="1"/>
  <c r="DX18" i="8"/>
  <c r="DZ18" i="8" s="1"/>
  <c r="DX19" i="8"/>
  <c r="DZ19" i="8" s="1"/>
  <c r="DX9" i="8"/>
  <c r="DZ9" i="8" s="1"/>
  <c r="GV10" i="8"/>
  <c r="AI12" i="6" s="1"/>
  <c r="GV12" i="8"/>
  <c r="AI14" i="6" s="1"/>
  <c r="GV14" i="8"/>
  <c r="AI16" i="6" s="1"/>
  <c r="GV16" i="8"/>
  <c r="AI18" i="6" s="1"/>
  <c r="GV17" i="8"/>
  <c r="AI19" i="6" s="1"/>
  <c r="GV18" i="8"/>
  <c r="AI20" i="6" s="1"/>
  <c r="GV19" i="8"/>
  <c r="AI21" i="6" s="1"/>
  <c r="GV22" i="8"/>
  <c r="GV24" i="8"/>
  <c r="GV25" i="8"/>
  <c r="AI28" i="6" s="1"/>
  <c r="GV26" i="8"/>
  <c r="AI29" i="6" s="1"/>
  <c r="GV27" i="8"/>
  <c r="AI30" i="6" s="1"/>
  <c r="GV28" i="8"/>
  <c r="AI31" i="6" s="1"/>
  <c r="GV29" i="8"/>
  <c r="AI32" i="6" s="1"/>
  <c r="GV30" i="8"/>
  <c r="AI33" i="6" s="1"/>
  <c r="GV31" i="8"/>
  <c r="AI34" i="6" s="1"/>
  <c r="GV32" i="8"/>
  <c r="AI35" i="6" s="1"/>
  <c r="GV33" i="8"/>
  <c r="AI36" i="6" s="1"/>
  <c r="GV34" i="8"/>
  <c r="AI37" i="6" s="1"/>
  <c r="GV35" i="8"/>
  <c r="AI38" i="6" s="1"/>
  <c r="GV36" i="8"/>
  <c r="AI39" i="6" s="1"/>
  <c r="GV37" i="8"/>
  <c r="AI40" i="6" s="1"/>
  <c r="GV38" i="8"/>
  <c r="GV39" i="8"/>
  <c r="GV9" i="8"/>
  <c r="AI11" i="6" s="1"/>
  <c r="GV41" i="8"/>
  <c r="BD11" i="8"/>
  <c r="BD15" i="8" s="1"/>
  <c r="BD23" i="8" s="1"/>
  <c r="K13" i="8"/>
  <c r="K15" i="8" s="1"/>
  <c r="K23" i="8" l="1"/>
  <c r="GV15" i="8"/>
  <c r="GV13" i="8"/>
  <c r="AI15" i="6" s="1"/>
  <c r="AI42" i="6"/>
  <c r="V23" i="8"/>
  <c r="V11" i="8"/>
  <c r="GV11" i="8" s="1"/>
  <c r="AI13" i="6" s="1"/>
  <c r="W41" i="8"/>
  <c r="Y41" i="8" s="1"/>
  <c r="AD10" i="8"/>
  <c r="AF10" i="8" s="1"/>
  <c r="AD11" i="8"/>
  <c r="AF11" i="8" s="1"/>
  <c r="AD12" i="8"/>
  <c r="AF12" i="8" s="1"/>
  <c r="AD13" i="8"/>
  <c r="AF13" i="8" s="1"/>
  <c r="AD14" i="8"/>
  <c r="AF14" i="8" s="1"/>
  <c r="AD16" i="8"/>
  <c r="AF16" i="8" s="1"/>
  <c r="AD17" i="8"/>
  <c r="AF17" i="8" s="1"/>
  <c r="AD18" i="8"/>
  <c r="AF18" i="8" s="1"/>
  <c r="AD20" i="8"/>
  <c r="AF20" i="8" s="1"/>
  <c r="AD21" i="8"/>
  <c r="AF21" i="8" s="1"/>
  <c r="AD22" i="8"/>
  <c r="AF22" i="8" s="1"/>
  <c r="AD24" i="8"/>
  <c r="AF24" i="8" s="1"/>
  <c r="AD25" i="8"/>
  <c r="AF25" i="8" s="1"/>
  <c r="AD26" i="8"/>
  <c r="AF26" i="8" s="1"/>
  <c r="AD27" i="8"/>
  <c r="AF27" i="8" s="1"/>
  <c r="AD28" i="8"/>
  <c r="AF28" i="8" s="1"/>
  <c r="AD29" i="8"/>
  <c r="AF29" i="8" s="1"/>
  <c r="AD31" i="8"/>
  <c r="AF31" i="8" s="1"/>
  <c r="AD32" i="8"/>
  <c r="AF32" i="8" s="1"/>
  <c r="AD33" i="8"/>
  <c r="AF33" i="8" s="1"/>
  <c r="AD36" i="8"/>
  <c r="AF36" i="8" s="1"/>
  <c r="AD37" i="8"/>
  <c r="AF37" i="8" s="1"/>
  <c r="AD38" i="8"/>
  <c r="AF38" i="8" s="1"/>
  <c r="AD39" i="8"/>
  <c r="AF39" i="8" s="1"/>
  <c r="AD41" i="8"/>
  <c r="AF41" i="8" s="1"/>
  <c r="AD9" i="8"/>
  <c r="AF9" i="8" s="1"/>
  <c r="AK10" i="8"/>
  <c r="AM10" i="8" s="1"/>
  <c r="AK11" i="8"/>
  <c r="AM11" i="8" s="1"/>
  <c r="AK12" i="8"/>
  <c r="AM12" i="8" s="1"/>
  <c r="AK13" i="8"/>
  <c r="AM13" i="8" s="1"/>
  <c r="AK14" i="8"/>
  <c r="AM14" i="8" s="1"/>
  <c r="AK16" i="8"/>
  <c r="AM16" i="8" s="1"/>
  <c r="AK17" i="8"/>
  <c r="AM17" i="8" s="1"/>
  <c r="AK18" i="8"/>
  <c r="AM18" i="8" s="1"/>
  <c r="AK20" i="8"/>
  <c r="AM20" i="8" s="1"/>
  <c r="AK21" i="8"/>
  <c r="AM21" i="8" s="1"/>
  <c r="AK22" i="8"/>
  <c r="AM22" i="8" s="1"/>
  <c r="AK24" i="8"/>
  <c r="AM24" i="8" s="1"/>
  <c r="AK25" i="8"/>
  <c r="AM25" i="8" s="1"/>
  <c r="AK26" i="8"/>
  <c r="AM26" i="8" s="1"/>
  <c r="AK27" i="8"/>
  <c r="AM27" i="8" s="1"/>
  <c r="AK28" i="8"/>
  <c r="AM28" i="8" s="1"/>
  <c r="AK29" i="8"/>
  <c r="AM29" i="8" s="1"/>
  <c r="AK31" i="8"/>
  <c r="AM31" i="8" s="1"/>
  <c r="AK32" i="8"/>
  <c r="AM32" i="8" s="1"/>
  <c r="AK33" i="8"/>
  <c r="AM33" i="8" s="1"/>
  <c r="AK36" i="8"/>
  <c r="AM36" i="8" s="1"/>
  <c r="AK37" i="8"/>
  <c r="AM37" i="8" s="1"/>
  <c r="AK38" i="8"/>
  <c r="AM38" i="8" s="1"/>
  <c r="AK39" i="8"/>
  <c r="AM39" i="8" s="1"/>
  <c r="AK9" i="8"/>
  <c r="AM9" i="8" s="1"/>
  <c r="DJ40" i="8"/>
  <c r="GV40" i="8" s="1"/>
  <c r="DK21" i="8"/>
  <c r="DM21" i="8" s="1"/>
  <c r="GV23" i="8" l="1"/>
  <c r="AI17" i="6"/>
  <c r="AI24" i="6" s="1"/>
  <c r="AI26" i="6" s="1"/>
  <c r="AU26" i="6" s="1"/>
  <c r="AI44" i="6"/>
  <c r="K30" i="6"/>
  <c r="K32" i="6"/>
  <c r="K34" i="6"/>
  <c r="K36" i="6"/>
  <c r="K38" i="6"/>
  <c r="K40" i="6"/>
  <c r="K42" i="6"/>
  <c r="K12" i="6"/>
  <c r="K14" i="6"/>
  <c r="K16" i="6"/>
  <c r="K18" i="6"/>
  <c r="K20" i="6"/>
  <c r="K22" i="6"/>
  <c r="AH10" i="7"/>
  <c r="AH11" i="7"/>
  <c r="K13" i="6" s="1"/>
  <c r="AH12" i="7"/>
  <c r="AH13" i="7"/>
  <c r="K15" i="6" s="1"/>
  <c r="AH14" i="7"/>
  <c r="AH16" i="7"/>
  <c r="AH17" i="7"/>
  <c r="K19" i="6" s="1"/>
  <c r="AH18" i="7"/>
  <c r="AH19" i="7"/>
  <c r="K21" i="6" s="1"/>
  <c r="AH20" i="7"/>
  <c r="AH21" i="7"/>
  <c r="K23" i="6" s="1"/>
  <c r="AH23" i="7"/>
  <c r="AH24" i="7"/>
  <c r="K28" i="6" s="1"/>
  <c r="AH25" i="7"/>
  <c r="K29" i="6" s="1"/>
  <c r="AH26" i="7"/>
  <c r="AH27" i="7"/>
  <c r="K31" i="6" s="1"/>
  <c r="AH28" i="7"/>
  <c r="AH29" i="7"/>
  <c r="K33" i="6" s="1"/>
  <c r="AH30" i="7"/>
  <c r="AH31" i="7"/>
  <c r="K35" i="6" s="1"/>
  <c r="AH32" i="7"/>
  <c r="AH33" i="7"/>
  <c r="K37" i="6" s="1"/>
  <c r="AH34" i="7"/>
  <c r="AH35" i="7"/>
  <c r="K39" i="6" s="1"/>
  <c r="AH36" i="7"/>
  <c r="AH37" i="7"/>
  <c r="K41" i="6" s="1"/>
  <c r="AH38" i="7"/>
  <c r="AH39" i="7"/>
  <c r="AH9" i="7"/>
  <c r="K11" i="6" s="1"/>
  <c r="J15" i="7"/>
  <c r="J22" i="7" s="1"/>
  <c r="AH22" i="7" s="1"/>
  <c r="K24" i="6" s="1"/>
  <c r="W45" i="6"/>
  <c r="AU45" i="6" s="1"/>
  <c r="V15" i="15"/>
  <c r="AT10" i="15"/>
  <c r="AT11" i="15"/>
  <c r="AT12" i="15"/>
  <c r="AT13" i="15"/>
  <c r="AT14" i="15"/>
  <c r="AT16" i="15"/>
  <c r="AT17" i="15"/>
  <c r="AT18" i="15"/>
  <c r="AT19" i="15"/>
  <c r="AT20" i="15"/>
  <c r="AT21" i="15"/>
  <c r="AT23" i="15"/>
  <c r="AT24" i="15"/>
  <c r="AT25" i="15"/>
  <c r="AT26" i="15"/>
  <c r="AT27" i="15"/>
  <c r="AT28" i="15"/>
  <c r="AT29" i="15"/>
  <c r="AT30" i="15"/>
  <c r="AT31" i="15"/>
  <c r="AT32" i="15"/>
  <c r="AT33" i="15"/>
  <c r="AT34" i="15"/>
  <c r="AT35" i="15"/>
  <c r="AT36" i="15"/>
  <c r="AT37" i="15"/>
  <c r="AT38" i="15"/>
  <c r="AT39" i="15"/>
  <c r="AT9" i="15"/>
  <c r="AE15" i="15"/>
  <c r="AE22" i="15" s="1"/>
  <c r="M22" i="15"/>
  <c r="M15" i="15"/>
  <c r="N19" i="15"/>
  <c r="P19" i="15" s="1"/>
  <c r="N29" i="15"/>
  <c r="P29" i="15" s="1"/>
  <c r="N34" i="15"/>
  <c r="P34" i="15" s="1"/>
  <c r="G11" i="15"/>
  <c r="G15" i="15"/>
  <c r="G22" i="15"/>
  <c r="G34" i="15"/>
  <c r="G35" i="15"/>
  <c r="G38" i="15"/>
  <c r="AH15" i="7" l="1"/>
  <c r="K17" i="6" s="1"/>
  <c r="AT15" i="15"/>
  <c r="V22" i="15"/>
  <c r="AT22" i="15" s="1"/>
  <c r="BO10" i="20"/>
  <c r="BO11" i="20"/>
  <c r="BO12" i="20"/>
  <c r="BO13" i="20"/>
  <c r="BO14" i="20"/>
  <c r="BO16" i="20"/>
  <c r="BO17" i="20"/>
  <c r="BO18" i="20"/>
  <c r="BO19" i="20"/>
  <c r="BO20" i="20"/>
  <c r="BO21" i="20"/>
  <c r="BO23" i="20"/>
  <c r="BO24" i="20"/>
  <c r="BO25" i="20"/>
  <c r="BO26" i="20"/>
  <c r="BO27" i="20"/>
  <c r="BO28" i="20"/>
  <c r="BO29" i="20"/>
  <c r="BO30" i="20"/>
  <c r="BO31" i="20"/>
  <c r="BO32" i="20"/>
  <c r="BO33" i="20"/>
  <c r="BO34" i="20"/>
  <c r="BO35" i="20"/>
  <c r="BO36" i="20"/>
  <c r="BO37" i="20"/>
  <c r="BO39" i="20"/>
  <c r="BO9" i="20"/>
  <c r="J15" i="20" l="1"/>
  <c r="AB10" i="20"/>
  <c r="AD10" i="20" s="1"/>
  <c r="AB11" i="20"/>
  <c r="AD11" i="20" s="1"/>
  <c r="AB12" i="20"/>
  <c r="AD12" i="20" s="1"/>
  <c r="AB13" i="20"/>
  <c r="AD13" i="20" s="1"/>
  <c r="AB14" i="20"/>
  <c r="AD14" i="20" s="1"/>
  <c r="AB16" i="20"/>
  <c r="AD16" i="20" s="1"/>
  <c r="AB17" i="20"/>
  <c r="AD17" i="20" s="1"/>
  <c r="AB18" i="20"/>
  <c r="AD18" i="20" s="1"/>
  <c r="AB19" i="20"/>
  <c r="AD19" i="20" s="1"/>
  <c r="AB20" i="20"/>
  <c r="AD20" i="20" s="1"/>
  <c r="AB21" i="20"/>
  <c r="AD21" i="20" s="1"/>
  <c r="AB23" i="20"/>
  <c r="AD23" i="20" s="1"/>
  <c r="AB24" i="20"/>
  <c r="AD24" i="20" s="1"/>
  <c r="AB25" i="20"/>
  <c r="AD25" i="20" s="1"/>
  <c r="AB26" i="20"/>
  <c r="AD26" i="20" s="1"/>
  <c r="AB27" i="20"/>
  <c r="AD27" i="20" s="1"/>
  <c r="AB28" i="20"/>
  <c r="AD28" i="20" s="1"/>
  <c r="AB29" i="20"/>
  <c r="AD29" i="20" s="1"/>
  <c r="AB30" i="20"/>
  <c r="AD30" i="20" s="1"/>
  <c r="AB31" i="20"/>
  <c r="AD31" i="20" s="1"/>
  <c r="AB32" i="20"/>
  <c r="AD32" i="20" s="1"/>
  <c r="AB33" i="20"/>
  <c r="AD33" i="20" s="1"/>
  <c r="AB34" i="20"/>
  <c r="AD34" i="20" s="1"/>
  <c r="AB35" i="20"/>
  <c r="AD35" i="20" s="1"/>
  <c r="AB36" i="20"/>
  <c r="AD36" i="20" s="1"/>
  <c r="AB37" i="20"/>
  <c r="AD37" i="20" s="1"/>
  <c r="AB38" i="20"/>
  <c r="AD38" i="20" s="1"/>
  <c r="AB39" i="20"/>
  <c r="AD39" i="20" s="1"/>
  <c r="AB9" i="20"/>
  <c r="AD9" i="20" s="1"/>
  <c r="BD15" i="20" l="1"/>
  <c r="AK10" i="42"/>
  <c r="AK11" i="42"/>
  <c r="AK12" i="42"/>
  <c r="AK13" i="42"/>
  <c r="AK14" i="42"/>
  <c r="AK16" i="42"/>
  <c r="AK17" i="42"/>
  <c r="AK18" i="42"/>
  <c r="AK19" i="42"/>
  <c r="AK20" i="42"/>
  <c r="AK21" i="42"/>
  <c r="AK22" i="42"/>
  <c r="AK23" i="42"/>
  <c r="AK24" i="42"/>
  <c r="AK25" i="42"/>
  <c r="AK26" i="42"/>
  <c r="W30" i="6" s="1"/>
  <c r="AU30" i="6" s="1"/>
  <c r="AK27" i="42"/>
  <c r="AK28" i="42"/>
  <c r="AK29" i="42"/>
  <c r="AK30" i="42"/>
  <c r="W34" i="6" s="1"/>
  <c r="AU34" i="6" s="1"/>
  <c r="AK31" i="42"/>
  <c r="AK32" i="42"/>
  <c r="AK33" i="42"/>
  <c r="AK34" i="42"/>
  <c r="W38" i="6" s="1"/>
  <c r="AK35" i="42"/>
  <c r="AK36" i="42"/>
  <c r="AK37" i="42"/>
  <c r="AK38" i="42"/>
  <c r="W42" i="6" s="1"/>
  <c r="AK39" i="42"/>
  <c r="AK9" i="42"/>
  <c r="K15" i="42"/>
  <c r="AK15" i="42" s="1"/>
  <c r="AT10" i="19"/>
  <c r="AT11" i="19"/>
  <c r="AT12" i="19"/>
  <c r="AT13" i="19"/>
  <c r="W15" i="6" s="1"/>
  <c r="AU15" i="6" s="1"/>
  <c r="AT14" i="19"/>
  <c r="AT16" i="19"/>
  <c r="AT17" i="19"/>
  <c r="W19" i="6" s="1"/>
  <c r="AU19" i="6" s="1"/>
  <c r="AT18" i="19"/>
  <c r="AT19" i="19"/>
  <c r="AT20" i="19"/>
  <c r="AT21" i="19"/>
  <c r="W23" i="6" s="1"/>
  <c r="AU23" i="6" s="1"/>
  <c r="AT22" i="19"/>
  <c r="AT23" i="19"/>
  <c r="AT24" i="19"/>
  <c r="AT25" i="19"/>
  <c r="AT26" i="19"/>
  <c r="AT27" i="19"/>
  <c r="AT28" i="19"/>
  <c r="AT29" i="19"/>
  <c r="AT30" i="19"/>
  <c r="AT31" i="19"/>
  <c r="AT32" i="19"/>
  <c r="AT33" i="19"/>
  <c r="AT34" i="19"/>
  <c r="AT35" i="19"/>
  <c r="AT36" i="19"/>
  <c r="AT37" i="19"/>
  <c r="AT38" i="19"/>
  <c r="AT39" i="19"/>
  <c r="AT9" i="19"/>
  <c r="AI15" i="19"/>
  <c r="AT15" i="19" s="1"/>
  <c r="AS39" i="41"/>
  <c r="AR10" i="41"/>
  <c r="AR11" i="41"/>
  <c r="AR12" i="41"/>
  <c r="AR13" i="41"/>
  <c r="AR14" i="41"/>
  <c r="AR16" i="41"/>
  <c r="AR17" i="41"/>
  <c r="AR18" i="41"/>
  <c r="AR19" i="41"/>
  <c r="AR20" i="41"/>
  <c r="AR21" i="41"/>
  <c r="AR22" i="41"/>
  <c r="AR23" i="41"/>
  <c r="AR24" i="41"/>
  <c r="AR25" i="41"/>
  <c r="AR26" i="41"/>
  <c r="AR27" i="41"/>
  <c r="AR28" i="41"/>
  <c r="AR29" i="41"/>
  <c r="AR30" i="41"/>
  <c r="AR31" i="41"/>
  <c r="AR32" i="41"/>
  <c r="AR33" i="41"/>
  <c r="AR34" i="41"/>
  <c r="AR35" i="41"/>
  <c r="AR36" i="41"/>
  <c r="AR37" i="41"/>
  <c r="AR38" i="41"/>
  <c r="AR39" i="41"/>
  <c r="AR9" i="41"/>
  <c r="AG15" i="41"/>
  <c r="AR15" i="41" s="1"/>
  <c r="I10" i="41"/>
  <c r="K10" i="41" s="1"/>
  <c r="I11" i="41"/>
  <c r="K11" i="41" s="1"/>
  <c r="I12" i="41"/>
  <c r="K12" i="41" s="1"/>
  <c r="I13" i="41"/>
  <c r="K13" i="41" s="1"/>
  <c r="I14" i="41"/>
  <c r="K14" i="41" s="1"/>
  <c r="I16" i="41"/>
  <c r="K16" i="41" s="1"/>
  <c r="I17" i="41"/>
  <c r="K17" i="41" s="1"/>
  <c r="I18" i="41"/>
  <c r="K18" i="41" s="1"/>
  <c r="I19" i="41"/>
  <c r="K19" i="41" s="1"/>
  <c r="I20" i="41"/>
  <c r="K20" i="41" s="1"/>
  <c r="I21" i="41"/>
  <c r="K21" i="41" s="1"/>
  <c r="I23" i="41"/>
  <c r="K23" i="41" s="1"/>
  <c r="I24" i="41"/>
  <c r="K24" i="41" s="1"/>
  <c r="I25" i="41"/>
  <c r="K25" i="41" s="1"/>
  <c r="I26" i="41"/>
  <c r="K26" i="41" s="1"/>
  <c r="I27" i="41"/>
  <c r="K27" i="41" s="1"/>
  <c r="I28" i="41"/>
  <c r="K28" i="41" s="1"/>
  <c r="I29" i="41"/>
  <c r="K29" i="41" s="1"/>
  <c r="I30" i="41"/>
  <c r="K30" i="41" s="1"/>
  <c r="I31" i="41"/>
  <c r="K31" i="41" s="1"/>
  <c r="I32" i="41"/>
  <c r="K32" i="41" s="1"/>
  <c r="I33" i="41"/>
  <c r="K33" i="41" s="1"/>
  <c r="I34" i="41"/>
  <c r="K34" i="41" s="1"/>
  <c r="I35" i="41"/>
  <c r="K35" i="41" s="1"/>
  <c r="I36" i="41"/>
  <c r="K36" i="41" s="1"/>
  <c r="I37" i="41"/>
  <c r="K37" i="41" s="1"/>
  <c r="I38" i="41"/>
  <c r="K38" i="41" s="1"/>
  <c r="I9" i="41"/>
  <c r="K9" i="41" s="1"/>
  <c r="W44" i="6" l="1"/>
  <c r="AU42" i="6"/>
  <c r="AU38" i="6"/>
  <c r="W20" i="6"/>
  <c r="AU20" i="6" s="1"/>
  <c r="W16" i="6"/>
  <c r="AU16" i="6" s="1"/>
  <c r="W12" i="6"/>
  <c r="AU12" i="6" s="1"/>
  <c r="W39" i="6"/>
  <c r="W35" i="6"/>
  <c r="AU35" i="6" s="1"/>
  <c r="W31" i="6"/>
  <c r="AU31" i="6" s="1"/>
  <c r="W11" i="6"/>
  <c r="AU11" i="6" s="1"/>
  <c r="W22" i="6"/>
  <c r="AU22" i="6" s="1"/>
  <c r="W18" i="6"/>
  <c r="AU18" i="6" s="1"/>
  <c r="W14" i="6"/>
  <c r="AU14" i="6" s="1"/>
  <c r="W41" i="6"/>
  <c r="AU41" i="6" s="1"/>
  <c r="W37" i="6"/>
  <c r="AU37" i="6" s="1"/>
  <c r="W33" i="6"/>
  <c r="W29" i="6"/>
  <c r="AU29" i="6" s="1"/>
  <c r="W21" i="6"/>
  <c r="AU21" i="6" s="1"/>
  <c r="W13" i="6"/>
  <c r="AU13" i="6" s="1"/>
  <c r="W40" i="6"/>
  <c r="AU40" i="6" s="1"/>
  <c r="W36" i="6"/>
  <c r="AU36" i="6" s="1"/>
  <c r="W32" i="6"/>
  <c r="AU32" i="6" s="1"/>
  <c r="W28" i="6"/>
  <c r="AU28" i="6" s="1"/>
  <c r="BD22" i="20"/>
  <c r="BO22" i="20" s="1"/>
  <c r="W24" i="6" s="1"/>
  <c r="AU24" i="6" s="1"/>
  <c r="BO15" i="20"/>
  <c r="W17" i="6" s="1"/>
  <c r="AU17" i="6" s="1"/>
  <c r="AS43" i="6"/>
  <c r="AS44" i="6"/>
  <c r="AG22" i="6"/>
  <c r="AU33" i="6" l="1"/>
  <c r="AU39" i="6"/>
  <c r="AU44" i="6"/>
  <c r="DT21" i="8"/>
  <c r="DV21" i="8" s="1"/>
  <c r="DX21" i="8" s="1"/>
  <c r="DZ21" i="8" s="1"/>
  <c r="DT22" i="8"/>
  <c r="DV22" i="8" s="1"/>
  <c r="DX22" i="8" s="1"/>
  <c r="DZ22" i="8" s="1"/>
  <c r="DT23" i="8"/>
  <c r="DV23" i="8" s="1"/>
  <c r="DX23" i="8" s="1"/>
  <c r="DZ23" i="8" s="1"/>
  <c r="DT20" i="8"/>
  <c r="DV20" i="8" s="1"/>
  <c r="DX20" i="8" s="1"/>
  <c r="DZ20" i="8" s="1"/>
  <c r="GT25" i="8"/>
  <c r="AG28" i="6" s="1"/>
  <c r="I11" i="8" l="1"/>
  <c r="I15" i="8" s="1"/>
  <c r="GT10" i="8"/>
  <c r="GT12" i="8"/>
  <c r="GT13" i="8"/>
  <c r="GT14" i="8"/>
  <c r="GT18" i="8"/>
  <c r="GT22" i="8"/>
  <c r="GT24" i="8"/>
  <c r="GT26" i="8"/>
  <c r="GT27" i="8"/>
  <c r="GT28" i="8"/>
  <c r="AG31" i="6" s="1"/>
  <c r="GT29" i="8"/>
  <c r="GT31" i="8"/>
  <c r="GT32" i="8"/>
  <c r="GT33" i="8"/>
  <c r="GT36" i="8"/>
  <c r="GT37" i="8"/>
  <c r="GT38" i="8"/>
  <c r="GT39" i="8"/>
  <c r="GT41" i="8"/>
  <c r="GT9" i="8"/>
  <c r="AG11" i="6" s="1"/>
  <c r="GF16" i="8"/>
  <c r="GF19" i="8"/>
  <c r="GG19" i="8" s="1"/>
  <c r="GI19" i="8" s="1"/>
  <c r="GG10" i="8"/>
  <c r="GG11" i="8"/>
  <c r="GI11" i="8" s="1"/>
  <c r="GG12" i="8"/>
  <c r="GI12" i="8" s="1"/>
  <c r="GG13" i="8"/>
  <c r="GI13" i="8" s="1"/>
  <c r="GG14" i="8"/>
  <c r="GI14" i="8" s="1"/>
  <c r="GG15" i="8"/>
  <c r="GI15" i="8" s="1"/>
  <c r="GG16" i="8"/>
  <c r="GI16" i="8" s="1"/>
  <c r="GG17" i="8"/>
  <c r="GI17" i="8" s="1"/>
  <c r="GG18" i="8"/>
  <c r="GI18" i="8" s="1"/>
  <c r="GG20" i="8"/>
  <c r="GI20" i="8" s="1"/>
  <c r="GG21" i="8"/>
  <c r="GI21" i="8" s="1"/>
  <c r="GG22" i="8"/>
  <c r="GI22" i="8" s="1"/>
  <c r="GG24" i="8"/>
  <c r="GI24" i="8" s="1"/>
  <c r="GG25" i="8"/>
  <c r="GI25" i="8" s="1"/>
  <c r="GG26" i="8"/>
  <c r="GI26" i="8" s="1"/>
  <c r="GG27" i="8"/>
  <c r="GI27" i="8" s="1"/>
  <c r="GG28" i="8"/>
  <c r="GI28" i="8" s="1"/>
  <c r="GG29" i="8"/>
  <c r="GI29" i="8" s="1"/>
  <c r="GG30" i="8"/>
  <c r="GI30" i="8" s="1"/>
  <c r="GG31" i="8"/>
  <c r="GI31" i="8" s="1"/>
  <c r="GG32" i="8"/>
  <c r="GI32" i="8" s="1"/>
  <c r="GG33" i="8"/>
  <c r="GI33" i="8" s="1"/>
  <c r="GG34" i="8"/>
  <c r="GI34" i="8" s="1"/>
  <c r="GG35" i="8"/>
  <c r="GI35" i="8" s="1"/>
  <c r="GG36" i="8"/>
  <c r="GI36" i="8" s="1"/>
  <c r="GG37" i="8"/>
  <c r="GI37" i="8" s="1"/>
  <c r="GG38" i="8"/>
  <c r="GI38" i="8" s="1"/>
  <c r="GG39" i="8"/>
  <c r="GI39" i="8" s="1"/>
  <c r="GG40" i="8"/>
  <c r="GI40" i="8" s="1"/>
  <c r="GG41" i="8"/>
  <c r="GI41" i="8" s="1"/>
  <c r="GG9" i="8"/>
  <c r="FP16" i="8"/>
  <c r="FP19" i="8" s="1"/>
  <c r="FP23" i="8" s="1"/>
  <c r="FM45" i="8"/>
  <c r="AA17" i="8"/>
  <c r="GT17" i="8" s="1"/>
  <c r="FY10" i="8"/>
  <c r="GA10" i="8" s="1"/>
  <c r="FY11" i="8"/>
  <c r="GA11" i="8" s="1"/>
  <c r="FY12" i="8"/>
  <c r="GA12" i="8" s="1"/>
  <c r="FY13" i="8"/>
  <c r="GA13" i="8" s="1"/>
  <c r="FY14" i="8"/>
  <c r="GA14" i="8" s="1"/>
  <c r="FY15" i="8"/>
  <c r="GA15" i="8" s="1"/>
  <c r="FY16" i="8"/>
  <c r="GA16" i="8" s="1"/>
  <c r="FY17" i="8"/>
  <c r="GA17" i="8" s="1"/>
  <c r="FY18" i="8"/>
  <c r="GA18" i="8" s="1"/>
  <c r="FY19" i="8"/>
  <c r="GA19" i="8" s="1"/>
  <c r="FY20" i="8"/>
  <c r="GA20" i="8" s="1"/>
  <c r="FY21" i="8"/>
  <c r="GA21" i="8" s="1"/>
  <c r="FY22" i="8"/>
  <c r="GA22" i="8" s="1"/>
  <c r="FY23" i="8"/>
  <c r="GA23" i="8" s="1"/>
  <c r="FY24" i="8"/>
  <c r="GA24" i="8" s="1"/>
  <c r="FY25" i="8"/>
  <c r="GA25" i="8" s="1"/>
  <c r="FY26" i="8"/>
  <c r="GA26" i="8" s="1"/>
  <c r="FY27" i="8"/>
  <c r="GA27" i="8" s="1"/>
  <c r="FY28" i="8"/>
  <c r="GA28" i="8" s="1"/>
  <c r="FY29" i="8"/>
  <c r="GA29" i="8" s="1"/>
  <c r="FY30" i="8"/>
  <c r="GA30" i="8" s="1"/>
  <c r="FY31" i="8"/>
  <c r="GA31" i="8" s="1"/>
  <c r="FY32" i="8"/>
  <c r="GA32" i="8" s="1"/>
  <c r="FY33" i="8"/>
  <c r="GA33" i="8" s="1"/>
  <c r="FY34" i="8"/>
  <c r="GA34" i="8" s="1"/>
  <c r="FY35" i="8"/>
  <c r="GA35" i="8" s="1"/>
  <c r="FY36" i="8"/>
  <c r="GA36" i="8" s="1"/>
  <c r="FY37" i="8"/>
  <c r="GA37" i="8" s="1"/>
  <c r="FY38" i="8"/>
  <c r="GA38" i="8" s="1"/>
  <c r="FY39" i="8"/>
  <c r="GA39" i="8" s="1"/>
  <c r="FY40" i="8"/>
  <c r="GA40" i="8" s="1"/>
  <c r="FY41" i="8"/>
  <c r="FY9" i="8"/>
  <c r="GA9" i="8" s="1"/>
  <c r="BB11" i="8"/>
  <c r="GT11" i="8" s="1"/>
  <c r="T15" i="8"/>
  <c r="T23" i="8" s="1"/>
  <c r="FU10" i="8"/>
  <c r="FW10" i="8" s="1"/>
  <c r="FU11" i="8"/>
  <c r="FW11" i="8" s="1"/>
  <c r="FU12" i="8"/>
  <c r="FW12" i="8" s="1"/>
  <c r="FU13" i="8"/>
  <c r="FW13" i="8" s="1"/>
  <c r="FU14" i="8"/>
  <c r="FW14" i="8" s="1"/>
  <c r="FU17" i="8"/>
  <c r="FW17" i="8" s="1"/>
  <c r="FU18" i="8"/>
  <c r="FW18" i="8" s="1"/>
  <c r="FU20" i="8"/>
  <c r="FW20" i="8" s="1"/>
  <c r="FU21" i="8"/>
  <c r="FW21" i="8" s="1"/>
  <c r="FU22" i="8"/>
  <c r="FW22" i="8" s="1"/>
  <c r="FU24" i="8"/>
  <c r="FW24" i="8" s="1"/>
  <c r="FU25" i="8"/>
  <c r="FW25" i="8" s="1"/>
  <c r="FU26" i="8"/>
  <c r="FW26" i="8" s="1"/>
  <c r="FU27" i="8"/>
  <c r="FW27" i="8" s="1"/>
  <c r="FU28" i="8"/>
  <c r="FW28" i="8" s="1"/>
  <c r="FU29" i="8"/>
  <c r="FW29" i="8" s="1"/>
  <c r="FU30" i="8"/>
  <c r="FW30" i="8" s="1"/>
  <c r="FU31" i="8"/>
  <c r="FW31" i="8" s="1"/>
  <c r="FU32" i="8"/>
  <c r="FW32" i="8" s="1"/>
  <c r="FU33" i="8"/>
  <c r="FW33" i="8" s="1"/>
  <c r="FU34" i="8"/>
  <c r="FW34" i="8" s="1"/>
  <c r="FU35" i="8"/>
  <c r="FW35" i="8" s="1"/>
  <c r="FU36" i="8"/>
  <c r="FW36" i="8" s="1"/>
  <c r="FU37" i="8"/>
  <c r="FW37" i="8" s="1"/>
  <c r="FU38" i="8"/>
  <c r="FW38" i="8" s="1"/>
  <c r="FU39" i="8"/>
  <c r="FW39" i="8" s="1"/>
  <c r="FU40" i="8"/>
  <c r="FW40" i="8" s="1"/>
  <c r="FU41" i="8"/>
  <c r="FW41" i="8" s="1"/>
  <c r="FU9" i="8"/>
  <c r="FW9" i="8" s="1"/>
  <c r="FT16" i="8"/>
  <c r="FU16" i="8" s="1"/>
  <c r="FW16" i="8" s="1"/>
  <c r="FQ10" i="8"/>
  <c r="FS10" i="8" s="1"/>
  <c r="FQ11" i="8"/>
  <c r="FS11" i="8" s="1"/>
  <c r="FQ12" i="8"/>
  <c r="FS12" i="8" s="1"/>
  <c r="FQ13" i="8"/>
  <c r="FS13" i="8" s="1"/>
  <c r="FQ14" i="8"/>
  <c r="FS14" i="8" s="1"/>
  <c r="FQ15" i="8"/>
  <c r="FS15" i="8" s="1"/>
  <c r="FQ17" i="8"/>
  <c r="FS17" i="8" s="1"/>
  <c r="FQ18" i="8"/>
  <c r="FS18" i="8" s="1"/>
  <c r="FQ19" i="8"/>
  <c r="FS19" i="8" s="1"/>
  <c r="FQ20" i="8"/>
  <c r="FS20" i="8" s="1"/>
  <c r="FQ21" i="8"/>
  <c r="FS21" i="8" s="1"/>
  <c r="FQ22" i="8"/>
  <c r="FS22" i="8" s="1"/>
  <c r="FQ23" i="8"/>
  <c r="FS23" i="8" s="1"/>
  <c r="FQ24" i="8"/>
  <c r="FS24" i="8" s="1"/>
  <c r="FQ25" i="8"/>
  <c r="FS25" i="8" s="1"/>
  <c r="FQ26" i="8"/>
  <c r="FS26" i="8" s="1"/>
  <c r="FQ27" i="8"/>
  <c r="FS27" i="8" s="1"/>
  <c r="FQ28" i="8"/>
  <c r="FS28" i="8" s="1"/>
  <c r="FQ29" i="8"/>
  <c r="FS29" i="8" s="1"/>
  <c r="FQ31" i="8"/>
  <c r="FS31" i="8" s="1"/>
  <c r="FQ32" i="8"/>
  <c r="FS32" i="8" s="1"/>
  <c r="FQ33" i="8"/>
  <c r="FS33" i="8" s="1"/>
  <c r="FQ34" i="8"/>
  <c r="FS34" i="8" s="1"/>
  <c r="FQ35" i="8"/>
  <c r="FS35" i="8" s="1"/>
  <c r="FQ36" i="8"/>
  <c r="FS36" i="8" s="1"/>
  <c r="FQ37" i="8"/>
  <c r="FS37" i="8" s="1"/>
  <c r="FQ38" i="8"/>
  <c r="FS38" i="8" s="1"/>
  <c r="FQ39" i="8"/>
  <c r="FS39" i="8" s="1"/>
  <c r="FQ41" i="8"/>
  <c r="FQ9" i="8"/>
  <c r="FS9" i="8" s="1"/>
  <c r="DH40" i="8"/>
  <c r="DI41" i="8"/>
  <c r="DK41" i="8" s="1"/>
  <c r="DM41" i="8" s="1"/>
  <c r="BC10" i="8"/>
  <c r="BE10" i="8" s="1"/>
  <c r="BG10" i="8" s="1"/>
  <c r="BC12" i="8"/>
  <c r="BE12" i="8" s="1"/>
  <c r="BG12" i="8" s="1"/>
  <c r="BC13" i="8"/>
  <c r="BE13" i="8" s="1"/>
  <c r="BG13" i="8" s="1"/>
  <c r="BC14" i="8"/>
  <c r="BE14" i="8" s="1"/>
  <c r="BG14" i="8" s="1"/>
  <c r="BC16" i="8"/>
  <c r="BE16" i="8" s="1"/>
  <c r="BG16" i="8" s="1"/>
  <c r="BC17" i="8"/>
  <c r="BE17" i="8" s="1"/>
  <c r="BG17" i="8" s="1"/>
  <c r="BC18" i="8"/>
  <c r="BE18" i="8" s="1"/>
  <c r="BG18" i="8" s="1"/>
  <c r="BC20" i="8"/>
  <c r="BE20" i="8" s="1"/>
  <c r="BG20" i="8" s="1"/>
  <c r="BC21" i="8"/>
  <c r="BE21" i="8" s="1"/>
  <c r="BG21" i="8" s="1"/>
  <c r="BC22" i="8"/>
  <c r="BE22" i="8" s="1"/>
  <c r="BG22" i="8" s="1"/>
  <c r="BC24" i="8"/>
  <c r="BE24" i="8" s="1"/>
  <c r="BG24" i="8" s="1"/>
  <c r="BC25" i="8"/>
  <c r="BE25" i="8" s="1"/>
  <c r="BG25" i="8" s="1"/>
  <c r="BC26" i="8"/>
  <c r="BE26" i="8" s="1"/>
  <c r="BG26" i="8" s="1"/>
  <c r="BC27" i="8"/>
  <c r="BE27" i="8" s="1"/>
  <c r="BG27" i="8" s="1"/>
  <c r="BC28" i="8"/>
  <c r="BE28" i="8" s="1"/>
  <c r="BG28" i="8" s="1"/>
  <c r="BC29" i="8"/>
  <c r="BE29" i="8" s="1"/>
  <c r="BG29" i="8" s="1"/>
  <c r="BC31" i="8"/>
  <c r="BE31" i="8" s="1"/>
  <c r="BG31" i="8" s="1"/>
  <c r="BC32" i="8"/>
  <c r="BE32" i="8" s="1"/>
  <c r="BG32" i="8" s="1"/>
  <c r="BC33" i="8"/>
  <c r="BE33" i="8" s="1"/>
  <c r="BG33" i="8" s="1"/>
  <c r="BC36" i="8"/>
  <c r="BE36" i="8" s="1"/>
  <c r="BG36" i="8" s="1"/>
  <c r="BC37" i="8"/>
  <c r="BE37" i="8" s="1"/>
  <c r="BG37" i="8" s="1"/>
  <c r="BC38" i="8"/>
  <c r="BE38" i="8" s="1"/>
  <c r="BG38" i="8" s="1"/>
  <c r="BC39" i="8"/>
  <c r="BE39" i="8" s="1"/>
  <c r="BG39" i="8" s="1"/>
  <c r="BC41" i="8"/>
  <c r="BE41" i="8" s="1"/>
  <c r="BG41" i="8" s="1"/>
  <c r="BC9" i="8"/>
  <c r="BE9" i="8" s="1"/>
  <c r="BG9" i="8" s="1"/>
  <c r="FT15" i="8"/>
  <c r="CA15" i="8"/>
  <c r="CC15" i="8" s="1"/>
  <c r="CA19" i="8"/>
  <c r="CC19" i="8" s="1"/>
  <c r="CA30" i="8"/>
  <c r="CC30" i="8" s="1"/>
  <c r="CA34" i="8"/>
  <c r="CC34" i="8" s="1"/>
  <c r="CA35" i="8"/>
  <c r="CC35" i="8" s="1"/>
  <c r="I27" i="6"/>
  <c r="J27" i="6" s="1"/>
  <c r="I30" i="6"/>
  <c r="I31" i="6"/>
  <c r="I34" i="6"/>
  <c r="I35" i="6"/>
  <c r="I45" i="6"/>
  <c r="J45" i="6" s="1"/>
  <c r="I11" i="6"/>
  <c r="AF10" i="7"/>
  <c r="I12" i="6" s="1"/>
  <c r="AF11" i="7"/>
  <c r="I13" i="6" s="1"/>
  <c r="AF12" i="7"/>
  <c r="I14" i="6" s="1"/>
  <c r="AF13" i="7"/>
  <c r="I15" i="6" s="1"/>
  <c r="AF14" i="7"/>
  <c r="I16" i="6" s="1"/>
  <c r="AF15" i="7"/>
  <c r="I17" i="6" s="1"/>
  <c r="AF16" i="7"/>
  <c r="I18" i="6" s="1"/>
  <c r="AF17" i="7"/>
  <c r="I19" i="6" s="1"/>
  <c r="AF18" i="7"/>
  <c r="I20" i="6" s="1"/>
  <c r="AF19" i="7"/>
  <c r="I21" i="6" s="1"/>
  <c r="AF20" i="7"/>
  <c r="I22" i="6" s="1"/>
  <c r="AF21" i="7"/>
  <c r="I23" i="6" s="1"/>
  <c r="AF23" i="7"/>
  <c r="I25" i="6" s="1"/>
  <c r="J25" i="6" s="1"/>
  <c r="AF24" i="7"/>
  <c r="AF25" i="7"/>
  <c r="AF26" i="7"/>
  <c r="I28" i="6" s="1"/>
  <c r="AS28" i="6" s="1"/>
  <c r="AF27" i="7"/>
  <c r="I29" i="6" s="1"/>
  <c r="AF28" i="7"/>
  <c r="AF29" i="7"/>
  <c r="AF30" i="7"/>
  <c r="I32" i="6" s="1"/>
  <c r="AF31" i="7"/>
  <c r="I33" i="6" s="1"/>
  <c r="AF32" i="7"/>
  <c r="AF33" i="7"/>
  <c r="AF34" i="7"/>
  <c r="AF35" i="7"/>
  <c r="AF36" i="7"/>
  <c r="AF37" i="7"/>
  <c r="AF38" i="7"/>
  <c r="AF39" i="7"/>
  <c r="I41" i="6" s="1"/>
  <c r="AF9" i="7"/>
  <c r="H15" i="7"/>
  <c r="I16" i="7"/>
  <c r="K16" i="7" s="1"/>
  <c r="M16" i="7" s="1"/>
  <c r="I19" i="7"/>
  <c r="K19" i="7" s="1"/>
  <c r="M19" i="7" s="1"/>
  <c r="I34" i="7"/>
  <c r="K34" i="7" s="1"/>
  <c r="M34" i="7" s="1"/>
  <c r="I38" i="7"/>
  <c r="K38" i="7" s="1"/>
  <c r="M38" i="7" s="1"/>
  <c r="H22" i="7" l="1"/>
  <c r="AS31" i="6"/>
  <c r="GT16" i="8"/>
  <c r="AG18" i="6" s="1"/>
  <c r="BC11" i="8"/>
  <c r="BE11" i="8" s="1"/>
  <c r="BG11" i="8" s="1"/>
  <c r="FQ16" i="8"/>
  <c r="FS16" i="8" s="1"/>
  <c r="FT19" i="8"/>
  <c r="FU19" i="8" s="1"/>
  <c r="FW19" i="8" s="1"/>
  <c r="AG19" i="6"/>
  <c r="AG13" i="6"/>
  <c r="AG39" i="6"/>
  <c r="AS39" i="6" s="1"/>
  <c r="AG32" i="6"/>
  <c r="AG14" i="6"/>
  <c r="FU15" i="8"/>
  <c r="FW15" i="8" s="1"/>
  <c r="AG36" i="6"/>
  <c r="AS36" i="6" s="1"/>
  <c r="AG12" i="6"/>
  <c r="AG35" i="6"/>
  <c r="AG30" i="6"/>
  <c r="AG16" i="6"/>
  <c r="AG40" i="6"/>
  <c r="AS40" i="6" s="1"/>
  <c r="AG34" i="6"/>
  <c r="AG29" i="6"/>
  <c r="AG20" i="6"/>
  <c r="AG15" i="6"/>
  <c r="GT30" i="8"/>
  <c r="AG33" i="6" s="1"/>
  <c r="AS33" i="6" s="1"/>
  <c r="I23" i="8"/>
  <c r="GF23" i="8"/>
  <c r="GG23" i="8" s="1"/>
  <c r="GI23" i="8" s="1"/>
  <c r="CA23" i="8"/>
  <c r="CC23" i="8" s="1"/>
  <c r="CA40" i="8"/>
  <c r="CC40" i="8" s="1"/>
  <c r="U45" i="6"/>
  <c r="BM10" i="20"/>
  <c r="BM11" i="20"/>
  <c r="BM12" i="20"/>
  <c r="BM13" i="20"/>
  <c r="BM14" i="20"/>
  <c r="BM16" i="20"/>
  <c r="BM17" i="20"/>
  <c r="BM18" i="20"/>
  <c r="BM19" i="20"/>
  <c r="BM20" i="20"/>
  <c r="BM21" i="20"/>
  <c r="BM23" i="20"/>
  <c r="BM24" i="20"/>
  <c r="BM25" i="20"/>
  <c r="BM26" i="20"/>
  <c r="BM27" i="20"/>
  <c r="BM28" i="20"/>
  <c r="BM29" i="20"/>
  <c r="BM30" i="20"/>
  <c r="BM31" i="20"/>
  <c r="BM32" i="20"/>
  <c r="BM33" i="20"/>
  <c r="BM34" i="20"/>
  <c r="BM35" i="20"/>
  <c r="BM36" i="20"/>
  <c r="BM37" i="20"/>
  <c r="BM38" i="20"/>
  <c r="BM39" i="20"/>
  <c r="BN39" i="20" s="1"/>
  <c r="BP39" i="20" s="1"/>
  <c r="BR39" i="20" s="1"/>
  <c r="BM9" i="20"/>
  <c r="I10" i="20"/>
  <c r="K10" i="20" s="1"/>
  <c r="M10" i="20" s="1"/>
  <c r="I11" i="20"/>
  <c r="K11" i="20" s="1"/>
  <c r="M11" i="20" s="1"/>
  <c r="I12" i="20"/>
  <c r="K12" i="20" s="1"/>
  <c r="M12" i="20" s="1"/>
  <c r="I13" i="20"/>
  <c r="K13" i="20" s="1"/>
  <c r="M13" i="20" s="1"/>
  <c r="I14" i="20"/>
  <c r="K14" i="20" s="1"/>
  <c r="M14" i="20" s="1"/>
  <c r="I16" i="20"/>
  <c r="K16" i="20" s="1"/>
  <c r="M16" i="20" s="1"/>
  <c r="I17" i="20"/>
  <c r="K17" i="20" s="1"/>
  <c r="M17" i="20" s="1"/>
  <c r="I18" i="20"/>
  <c r="K18" i="20" s="1"/>
  <c r="M18" i="20" s="1"/>
  <c r="I19" i="20"/>
  <c r="K19" i="20" s="1"/>
  <c r="M19" i="20" s="1"/>
  <c r="I20" i="20"/>
  <c r="K20" i="20" s="1"/>
  <c r="M20" i="20" s="1"/>
  <c r="I21" i="20"/>
  <c r="K21" i="20" s="1"/>
  <c r="M21" i="20" s="1"/>
  <c r="I23" i="20"/>
  <c r="K23" i="20" s="1"/>
  <c r="M23" i="20" s="1"/>
  <c r="I24" i="20"/>
  <c r="K24" i="20" s="1"/>
  <c r="M24" i="20" s="1"/>
  <c r="I25" i="20"/>
  <c r="K25" i="20" s="1"/>
  <c r="M25" i="20" s="1"/>
  <c r="I26" i="20"/>
  <c r="K26" i="20" s="1"/>
  <c r="M26" i="20" s="1"/>
  <c r="I34" i="20"/>
  <c r="K34" i="20" s="1"/>
  <c r="M34" i="20" s="1"/>
  <c r="I39" i="20"/>
  <c r="I9" i="20"/>
  <c r="K9" i="20" s="1"/>
  <c r="BB15" i="20"/>
  <c r="BM15" i="20" s="1"/>
  <c r="BC10" i="20"/>
  <c r="BE10" i="20" s="1"/>
  <c r="BG10" i="20" s="1"/>
  <c r="BC11" i="20"/>
  <c r="BE11" i="20" s="1"/>
  <c r="BG11" i="20" s="1"/>
  <c r="BC12" i="20"/>
  <c r="BE12" i="20" s="1"/>
  <c r="BG12" i="20" s="1"/>
  <c r="BC13" i="20"/>
  <c r="BE13" i="20" s="1"/>
  <c r="BG13" i="20" s="1"/>
  <c r="BC14" i="20"/>
  <c r="BE14" i="20" s="1"/>
  <c r="BG14" i="20" s="1"/>
  <c r="BC16" i="20"/>
  <c r="BE16" i="20" s="1"/>
  <c r="BG16" i="20" s="1"/>
  <c r="BC17" i="20"/>
  <c r="BE17" i="20" s="1"/>
  <c r="BG17" i="20" s="1"/>
  <c r="BC18" i="20"/>
  <c r="BE18" i="20" s="1"/>
  <c r="BG18" i="20" s="1"/>
  <c r="BC20" i="20"/>
  <c r="BE20" i="20" s="1"/>
  <c r="BG20" i="20" s="1"/>
  <c r="BC21" i="20"/>
  <c r="BE21" i="20" s="1"/>
  <c r="BG21" i="20" s="1"/>
  <c r="BC23" i="20"/>
  <c r="BE23" i="20" s="1"/>
  <c r="BG23" i="20" s="1"/>
  <c r="BC24" i="20"/>
  <c r="BE24" i="20" s="1"/>
  <c r="BG24" i="20" s="1"/>
  <c r="BC25" i="20"/>
  <c r="BE25" i="20" s="1"/>
  <c r="BG25" i="20" s="1"/>
  <c r="BC26" i="20"/>
  <c r="BE26" i="20" s="1"/>
  <c r="BG26" i="20" s="1"/>
  <c r="BC27" i="20"/>
  <c r="BE27" i="20" s="1"/>
  <c r="BG27" i="20" s="1"/>
  <c r="BC28" i="20"/>
  <c r="BE28" i="20" s="1"/>
  <c r="BG28" i="20" s="1"/>
  <c r="BC30" i="20"/>
  <c r="BE30" i="20" s="1"/>
  <c r="BG30" i="20" s="1"/>
  <c r="BC31" i="20"/>
  <c r="BE31" i="20" s="1"/>
  <c r="BG31" i="20" s="1"/>
  <c r="BC32" i="20"/>
  <c r="BE32" i="20" s="1"/>
  <c r="BG32" i="20" s="1"/>
  <c r="BC35" i="20"/>
  <c r="BE35" i="20" s="1"/>
  <c r="BG35" i="20" s="1"/>
  <c r="BC36" i="20"/>
  <c r="BE36" i="20" s="1"/>
  <c r="BG36" i="20" s="1"/>
  <c r="BC37" i="20"/>
  <c r="BE37" i="20" s="1"/>
  <c r="BG37" i="20" s="1"/>
  <c r="BC39" i="20"/>
  <c r="BE39" i="20" s="1"/>
  <c r="BG39" i="20" s="1"/>
  <c r="BC9" i="20"/>
  <c r="BE9" i="20" s="1"/>
  <c r="BG9" i="20" s="1"/>
  <c r="AF22" i="7" l="1"/>
  <c r="I24" i="6" s="1"/>
  <c r="I22" i="7"/>
  <c r="K22" i="7" s="1"/>
  <c r="M22" i="7" s="1"/>
  <c r="GT19" i="8"/>
  <c r="AG21" i="6" s="1"/>
  <c r="AS21" i="6" s="1"/>
  <c r="FT23" i="8"/>
  <c r="FU23" i="8" s="1"/>
  <c r="FW23" i="8" s="1"/>
  <c r="V45" i="6"/>
  <c r="X45" i="6" s="1"/>
  <c r="Z45" i="6" s="1"/>
  <c r="AS45" i="6"/>
  <c r="BB22" i="20"/>
  <c r="BM22" i="20" s="1"/>
  <c r="AJ16" i="42"/>
  <c r="AL16" i="42" s="1"/>
  <c r="AN16" i="42" s="1"/>
  <c r="AJ36" i="42"/>
  <c r="AL36" i="42" s="1"/>
  <c r="AN36" i="42" s="1"/>
  <c r="AI10" i="42"/>
  <c r="AJ10" i="42" s="1"/>
  <c r="AL10" i="42" s="1"/>
  <c r="AN10" i="42" s="1"/>
  <c r="AI11" i="42"/>
  <c r="AJ11" i="42" s="1"/>
  <c r="AL11" i="42" s="1"/>
  <c r="AN11" i="42" s="1"/>
  <c r="AI12" i="42"/>
  <c r="AI13" i="42"/>
  <c r="AI14" i="42"/>
  <c r="AI16" i="42"/>
  <c r="AI17" i="42"/>
  <c r="AI18" i="42"/>
  <c r="AI19" i="42"/>
  <c r="AJ19" i="42" s="1"/>
  <c r="AL19" i="42" s="1"/>
  <c r="AN19" i="42" s="1"/>
  <c r="AI20" i="42"/>
  <c r="AI21" i="42"/>
  <c r="AI23" i="42"/>
  <c r="AI24" i="42"/>
  <c r="AI25" i="42"/>
  <c r="AI26" i="42"/>
  <c r="AI27" i="42"/>
  <c r="AI28" i="42"/>
  <c r="AI29" i="42"/>
  <c r="AI30" i="42"/>
  <c r="AI31" i="42"/>
  <c r="AI32" i="42"/>
  <c r="AI33" i="42"/>
  <c r="AI34" i="42"/>
  <c r="AI35" i="42"/>
  <c r="AI36" i="42"/>
  <c r="AI37" i="42"/>
  <c r="AI38" i="42"/>
  <c r="AI39" i="42"/>
  <c r="AJ39" i="42" s="1"/>
  <c r="AL39" i="42" s="1"/>
  <c r="AN39" i="42" s="1"/>
  <c r="AI9" i="42"/>
  <c r="I22" i="42"/>
  <c r="J22" i="42" s="1"/>
  <c r="L22" i="42" s="1"/>
  <c r="N22" i="42" s="1"/>
  <c r="I15" i="42"/>
  <c r="AI15" i="42" s="1"/>
  <c r="J10" i="42"/>
  <c r="L10" i="42" s="1"/>
  <c r="N10" i="42" s="1"/>
  <c r="J11" i="42"/>
  <c r="L11" i="42" s="1"/>
  <c r="N11" i="42" s="1"/>
  <c r="J12" i="42"/>
  <c r="L12" i="42" s="1"/>
  <c r="N12" i="42" s="1"/>
  <c r="J13" i="42"/>
  <c r="L13" i="42" s="1"/>
  <c r="N13" i="42" s="1"/>
  <c r="J14" i="42"/>
  <c r="L14" i="42" s="1"/>
  <c r="N14" i="42" s="1"/>
  <c r="J16" i="42"/>
  <c r="L16" i="42" s="1"/>
  <c r="N16" i="42" s="1"/>
  <c r="J17" i="42"/>
  <c r="L17" i="42" s="1"/>
  <c r="N17" i="42" s="1"/>
  <c r="J18" i="42"/>
  <c r="L18" i="42" s="1"/>
  <c r="N18" i="42" s="1"/>
  <c r="J19" i="42"/>
  <c r="L19" i="42" s="1"/>
  <c r="N19" i="42" s="1"/>
  <c r="J20" i="42"/>
  <c r="L20" i="42" s="1"/>
  <c r="N20" i="42" s="1"/>
  <c r="J21" i="42"/>
  <c r="L21" i="42" s="1"/>
  <c r="N21" i="42" s="1"/>
  <c r="J23" i="42"/>
  <c r="L23" i="42" s="1"/>
  <c r="N23" i="42" s="1"/>
  <c r="J24" i="42"/>
  <c r="L24" i="42" s="1"/>
  <c r="N24" i="42" s="1"/>
  <c r="J25" i="42"/>
  <c r="L25" i="42" s="1"/>
  <c r="N25" i="42" s="1"/>
  <c r="J26" i="42"/>
  <c r="L26" i="42" s="1"/>
  <c r="N26" i="42" s="1"/>
  <c r="J27" i="42"/>
  <c r="L27" i="42" s="1"/>
  <c r="N27" i="42" s="1"/>
  <c r="J28" i="42"/>
  <c r="L28" i="42" s="1"/>
  <c r="N28" i="42" s="1"/>
  <c r="J29" i="42"/>
  <c r="L29" i="42" s="1"/>
  <c r="N29" i="42" s="1"/>
  <c r="J30" i="42"/>
  <c r="L30" i="42" s="1"/>
  <c r="N30" i="42" s="1"/>
  <c r="J31" i="42"/>
  <c r="L31" i="42" s="1"/>
  <c r="N31" i="42" s="1"/>
  <c r="J32" i="42"/>
  <c r="L32" i="42" s="1"/>
  <c r="N32" i="42" s="1"/>
  <c r="J33" i="42"/>
  <c r="L33" i="42" s="1"/>
  <c r="N33" i="42" s="1"/>
  <c r="J34" i="42"/>
  <c r="L34" i="42" s="1"/>
  <c r="N34" i="42" s="1"/>
  <c r="J35" i="42"/>
  <c r="L35" i="42" s="1"/>
  <c r="N35" i="42" s="1"/>
  <c r="J36" i="42"/>
  <c r="L36" i="42" s="1"/>
  <c r="N36" i="42" s="1"/>
  <c r="J37" i="42"/>
  <c r="L37" i="42" s="1"/>
  <c r="N37" i="42" s="1"/>
  <c r="J38" i="42"/>
  <c r="L38" i="42" s="1"/>
  <c r="N38" i="42" s="1"/>
  <c r="J39" i="42"/>
  <c r="L39" i="42" s="1"/>
  <c r="J9" i="42"/>
  <c r="L9" i="42" s="1"/>
  <c r="N9" i="42" s="1"/>
  <c r="AI22" i="42" l="1"/>
  <c r="AS39" i="19"/>
  <c r="AU39" i="19" s="1"/>
  <c r="AW39" i="19" s="1"/>
  <c r="AR10" i="19"/>
  <c r="AR11" i="19"/>
  <c r="AR12" i="19"/>
  <c r="AR13" i="19"/>
  <c r="U15" i="6" s="1"/>
  <c r="AS15" i="6" s="1"/>
  <c r="AT15" i="6" s="1"/>
  <c r="AV15" i="6" s="1"/>
  <c r="AX15" i="6" s="1"/>
  <c r="AR14" i="19"/>
  <c r="AR16" i="19"/>
  <c r="AR17" i="19"/>
  <c r="AR18" i="19"/>
  <c r="U20" i="6" s="1"/>
  <c r="AS20" i="6" s="1"/>
  <c r="AR20" i="19"/>
  <c r="AR21" i="19"/>
  <c r="AR23" i="19"/>
  <c r="AR24" i="19"/>
  <c r="AR25" i="19"/>
  <c r="AR26" i="19"/>
  <c r="AR27" i="19"/>
  <c r="AR28" i="19"/>
  <c r="AR29" i="19"/>
  <c r="AR30" i="19"/>
  <c r="AR31" i="19"/>
  <c r="AR32" i="19"/>
  <c r="AR33" i="19"/>
  <c r="AR34" i="19"/>
  <c r="AR35" i="19"/>
  <c r="AR36" i="19"/>
  <c r="AR37" i="19"/>
  <c r="AR38" i="19"/>
  <c r="AR39" i="19"/>
  <c r="AR9" i="19"/>
  <c r="AG15" i="19"/>
  <c r="AG22" i="19" s="1"/>
  <c r="AH10" i="19"/>
  <c r="AJ10" i="19" s="1"/>
  <c r="AL10" i="19" s="1"/>
  <c r="AH11" i="19"/>
  <c r="AJ11" i="19" s="1"/>
  <c r="AL11" i="19" s="1"/>
  <c r="AH12" i="19"/>
  <c r="AJ12" i="19" s="1"/>
  <c r="AL12" i="19" s="1"/>
  <c r="AH13" i="19"/>
  <c r="AJ13" i="19" s="1"/>
  <c r="AL13" i="19" s="1"/>
  <c r="AH14" i="19"/>
  <c r="AJ14" i="19" s="1"/>
  <c r="AL14" i="19" s="1"/>
  <c r="AH16" i="19"/>
  <c r="AJ16" i="19" s="1"/>
  <c r="AL16" i="19" s="1"/>
  <c r="AH17" i="19"/>
  <c r="AJ17" i="19" s="1"/>
  <c r="AL17" i="19" s="1"/>
  <c r="AH18" i="19"/>
  <c r="AJ18" i="19" s="1"/>
  <c r="AL18" i="19" s="1"/>
  <c r="AH19" i="19"/>
  <c r="AJ19" i="19" s="1"/>
  <c r="AL19" i="19" s="1"/>
  <c r="AH20" i="19"/>
  <c r="AJ20" i="19" s="1"/>
  <c r="AL20" i="19" s="1"/>
  <c r="AH21" i="19"/>
  <c r="AJ21" i="19" s="1"/>
  <c r="AL21" i="19" s="1"/>
  <c r="AH23" i="19"/>
  <c r="AJ23" i="19" s="1"/>
  <c r="AL23" i="19" s="1"/>
  <c r="AH24" i="19"/>
  <c r="AJ24" i="19" s="1"/>
  <c r="AL24" i="19" s="1"/>
  <c r="AH25" i="19"/>
  <c r="AJ25" i="19" s="1"/>
  <c r="AL25" i="19" s="1"/>
  <c r="AH26" i="19"/>
  <c r="AJ26" i="19" s="1"/>
  <c r="AL26" i="19" s="1"/>
  <c r="AH27" i="19"/>
  <c r="AJ27" i="19" s="1"/>
  <c r="AL27" i="19" s="1"/>
  <c r="AH28" i="19"/>
  <c r="AJ28" i="19" s="1"/>
  <c r="AL28" i="19" s="1"/>
  <c r="AH29" i="19"/>
  <c r="AJ29" i="19" s="1"/>
  <c r="AL29" i="19" s="1"/>
  <c r="AH30" i="19"/>
  <c r="AJ30" i="19" s="1"/>
  <c r="AL30" i="19" s="1"/>
  <c r="AH31" i="19"/>
  <c r="AJ31" i="19" s="1"/>
  <c r="AL31" i="19" s="1"/>
  <c r="AH32" i="19"/>
  <c r="AJ32" i="19" s="1"/>
  <c r="AL32" i="19" s="1"/>
  <c r="AH33" i="19"/>
  <c r="AJ33" i="19" s="1"/>
  <c r="AL33" i="19" s="1"/>
  <c r="AH34" i="19"/>
  <c r="AJ34" i="19" s="1"/>
  <c r="AL34" i="19" s="1"/>
  <c r="AH35" i="19"/>
  <c r="AJ35" i="19" s="1"/>
  <c r="AL35" i="19" s="1"/>
  <c r="AH36" i="19"/>
  <c r="AJ36" i="19" s="1"/>
  <c r="AL36" i="19" s="1"/>
  <c r="AH37" i="19"/>
  <c r="AJ37" i="19" s="1"/>
  <c r="AL37" i="19" s="1"/>
  <c r="AH38" i="19"/>
  <c r="AJ38" i="19" s="1"/>
  <c r="AL38" i="19" s="1"/>
  <c r="AH39" i="19"/>
  <c r="AH9" i="19"/>
  <c r="AJ9" i="19" s="1"/>
  <c r="AL9" i="19" s="1"/>
  <c r="X19" i="19"/>
  <c r="AR19" i="19" s="1"/>
  <c r="AS19" i="19" s="1"/>
  <c r="AU19" i="19" s="1"/>
  <c r="AW19" i="19" s="1"/>
  <c r="X15" i="19"/>
  <c r="Y10" i="19"/>
  <c r="AA10" i="19" s="1"/>
  <c r="Y11" i="19"/>
  <c r="AA11" i="19" s="1"/>
  <c r="Y12" i="19"/>
  <c r="AA12" i="19" s="1"/>
  <c r="Y13" i="19"/>
  <c r="AA13" i="19" s="1"/>
  <c r="Y14" i="19"/>
  <c r="AA14" i="19" s="1"/>
  <c r="Y16" i="19"/>
  <c r="AA16" i="19" s="1"/>
  <c r="Y17" i="19"/>
  <c r="AA17" i="19" s="1"/>
  <c r="Y18" i="19"/>
  <c r="AA18" i="19" s="1"/>
  <c r="Y20" i="19"/>
  <c r="AA20" i="19" s="1"/>
  <c r="Y21" i="19"/>
  <c r="AA21" i="19" s="1"/>
  <c r="Y23" i="19"/>
  <c r="AA23" i="19" s="1"/>
  <c r="Y24" i="19"/>
  <c r="AA24" i="19" s="1"/>
  <c r="Y25" i="19"/>
  <c r="AA25" i="19" s="1"/>
  <c r="Y26" i="19"/>
  <c r="AA26" i="19" s="1"/>
  <c r="Y27" i="19"/>
  <c r="AA27" i="19" s="1"/>
  <c r="Y28" i="19"/>
  <c r="AA28" i="19" s="1"/>
  <c r="Y29" i="19"/>
  <c r="AA29" i="19" s="1"/>
  <c r="Y30" i="19"/>
  <c r="AA30" i="19" s="1"/>
  <c r="Y31" i="19"/>
  <c r="AA31" i="19" s="1"/>
  <c r="Y32" i="19"/>
  <c r="AA32" i="19" s="1"/>
  <c r="Y33" i="19"/>
  <c r="AA33" i="19" s="1"/>
  <c r="Y34" i="19"/>
  <c r="AA34" i="19" s="1"/>
  <c r="Y35" i="19"/>
  <c r="AA35" i="19" s="1"/>
  <c r="Y36" i="19"/>
  <c r="AA36" i="19" s="1"/>
  <c r="Y37" i="19"/>
  <c r="AA37" i="19" s="1"/>
  <c r="Y38" i="19"/>
  <c r="AA38" i="19" s="1"/>
  <c r="Y39" i="19"/>
  <c r="AA39" i="19" s="1"/>
  <c r="Y9" i="19"/>
  <c r="AA9" i="19" s="1"/>
  <c r="H15" i="19"/>
  <c r="H22" i="19" s="1"/>
  <c r="I22" i="19" s="1"/>
  <c r="K22" i="19" s="1"/>
  <c r="I10" i="19"/>
  <c r="K10" i="19" s="1"/>
  <c r="I11" i="19"/>
  <c r="K11" i="19" s="1"/>
  <c r="I12" i="19"/>
  <c r="K12" i="19" s="1"/>
  <c r="I13" i="19"/>
  <c r="K13" i="19" s="1"/>
  <c r="I14" i="19"/>
  <c r="K14" i="19" s="1"/>
  <c r="I16" i="19"/>
  <c r="K16" i="19" s="1"/>
  <c r="I17" i="19"/>
  <c r="K17" i="19" s="1"/>
  <c r="I18" i="19"/>
  <c r="K18" i="19" s="1"/>
  <c r="I19" i="19"/>
  <c r="K19" i="19" s="1"/>
  <c r="I20" i="19"/>
  <c r="K20" i="19" s="1"/>
  <c r="I21" i="19"/>
  <c r="K21" i="19" s="1"/>
  <c r="I23" i="19"/>
  <c r="K23" i="19" s="1"/>
  <c r="I24" i="19"/>
  <c r="K24" i="19" s="1"/>
  <c r="I25" i="19"/>
  <c r="K25" i="19" s="1"/>
  <c r="I26" i="19"/>
  <c r="K26" i="19" s="1"/>
  <c r="I27" i="19"/>
  <c r="K27" i="19" s="1"/>
  <c r="I28" i="19"/>
  <c r="K28" i="19" s="1"/>
  <c r="I29" i="19"/>
  <c r="K29" i="19" s="1"/>
  <c r="I30" i="19"/>
  <c r="K30" i="19" s="1"/>
  <c r="I31" i="19"/>
  <c r="K31" i="19" s="1"/>
  <c r="I32" i="19"/>
  <c r="K32" i="19" s="1"/>
  <c r="I33" i="19"/>
  <c r="K33" i="19" s="1"/>
  <c r="I34" i="19"/>
  <c r="K34" i="19" s="1"/>
  <c r="I35" i="19"/>
  <c r="K35" i="19" s="1"/>
  <c r="I36" i="19"/>
  <c r="K36" i="19" s="1"/>
  <c r="I37" i="19"/>
  <c r="K37" i="19" s="1"/>
  <c r="I38" i="19"/>
  <c r="K38" i="19" s="1"/>
  <c r="I39" i="19"/>
  <c r="K39" i="19" s="1"/>
  <c r="I9" i="19"/>
  <c r="K9" i="19" s="1"/>
  <c r="AQ10" i="41"/>
  <c r="AS10" i="41" s="1"/>
  <c r="AU10" i="41" s="1"/>
  <c r="AQ14" i="41"/>
  <c r="AS14" i="41" s="1"/>
  <c r="AU14" i="41" s="1"/>
  <c r="AQ18" i="41"/>
  <c r="AS18" i="41" s="1"/>
  <c r="AU18" i="41" s="1"/>
  <c r="AQ19" i="41"/>
  <c r="AS19" i="41" s="1"/>
  <c r="AU19" i="41" s="1"/>
  <c r="AQ23" i="41"/>
  <c r="AS23" i="41" s="1"/>
  <c r="AU23" i="41" s="1"/>
  <c r="AQ26" i="41"/>
  <c r="AS26" i="41" s="1"/>
  <c r="AU26" i="41" s="1"/>
  <c r="AQ27" i="41"/>
  <c r="AS27" i="41" s="1"/>
  <c r="AU27" i="41" s="1"/>
  <c r="AQ30" i="41"/>
  <c r="AS30" i="41" s="1"/>
  <c r="AU30" i="41" s="1"/>
  <c r="AQ31" i="41"/>
  <c r="AS31" i="41" s="1"/>
  <c r="AU31" i="41" s="1"/>
  <c r="AQ37" i="41"/>
  <c r="AS37" i="41" s="1"/>
  <c r="AU37" i="41" s="1"/>
  <c r="AP10" i="41"/>
  <c r="AP12" i="41"/>
  <c r="AQ12" i="41" s="1"/>
  <c r="AS12" i="41" s="1"/>
  <c r="AU12" i="41" s="1"/>
  <c r="AP13" i="41"/>
  <c r="AQ13" i="41" s="1"/>
  <c r="AS13" i="41" s="1"/>
  <c r="AU13" i="41" s="1"/>
  <c r="AP14" i="41"/>
  <c r="AP16" i="41"/>
  <c r="AQ16" i="41" s="1"/>
  <c r="AS16" i="41" s="1"/>
  <c r="AU16" i="41" s="1"/>
  <c r="AP17" i="41"/>
  <c r="AQ17" i="41" s="1"/>
  <c r="AS17" i="41" s="1"/>
  <c r="AU17" i="41" s="1"/>
  <c r="AP18" i="41"/>
  <c r="AP19" i="41"/>
  <c r="AP20" i="41"/>
  <c r="AQ20" i="41" s="1"/>
  <c r="AS20" i="41" s="1"/>
  <c r="AU20" i="41" s="1"/>
  <c r="AP21" i="41"/>
  <c r="AQ21" i="41" s="1"/>
  <c r="AS21" i="41" s="1"/>
  <c r="AU21" i="41" s="1"/>
  <c r="AP23" i="41"/>
  <c r="AP24" i="41"/>
  <c r="AQ24" i="41" s="1"/>
  <c r="AS24" i="41" s="1"/>
  <c r="AU24" i="41" s="1"/>
  <c r="AP25" i="41"/>
  <c r="AQ25" i="41" s="1"/>
  <c r="AS25" i="41" s="1"/>
  <c r="AU25" i="41" s="1"/>
  <c r="AP26" i="41"/>
  <c r="AP27" i="41"/>
  <c r="AP28" i="41"/>
  <c r="AQ28" i="41" s="1"/>
  <c r="AS28" i="41" s="1"/>
  <c r="AU28" i="41" s="1"/>
  <c r="AP29" i="41"/>
  <c r="AQ29" i="41" s="1"/>
  <c r="AS29" i="41" s="1"/>
  <c r="AU29" i="41" s="1"/>
  <c r="AP30" i="41"/>
  <c r="AP31" i="41"/>
  <c r="AP32" i="41"/>
  <c r="AQ32" i="41" s="1"/>
  <c r="AS32" i="41" s="1"/>
  <c r="AU32" i="41" s="1"/>
  <c r="AP33" i="41"/>
  <c r="AQ33" i="41" s="1"/>
  <c r="AS33" i="41" s="1"/>
  <c r="AU33" i="41" s="1"/>
  <c r="AP34" i="41"/>
  <c r="AQ34" i="41" s="1"/>
  <c r="AS34" i="41" s="1"/>
  <c r="AU34" i="41" s="1"/>
  <c r="AP35" i="41"/>
  <c r="AQ35" i="41" s="1"/>
  <c r="AS35" i="41" s="1"/>
  <c r="AU35" i="41" s="1"/>
  <c r="AP36" i="41"/>
  <c r="AQ36" i="41" s="1"/>
  <c r="AS36" i="41" s="1"/>
  <c r="AU36" i="41" s="1"/>
  <c r="AP37" i="41"/>
  <c r="AP38" i="41"/>
  <c r="AQ38" i="41" s="1"/>
  <c r="AS38" i="41" s="1"/>
  <c r="AU38" i="41" s="1"/>
  <c r="AP39" i="41"/>
  <c r="AP9" i="41"/>
  <c r="AQ9" i="41" s="1"/>
  <c r="AS9" i="41" s="1"/>
  <c r="AU9" i="41" s="1"/>
  <c r="AE11" i="41"/>
  <c r="AE15" i="41" s="1"/>
  <c r="W10" i="41"/>
  <c r="Y10" i="41" s="1"/>
  <c r="W11" i="41"/>
  <c r="Y11" i="41" s="1"/>
  <c r="W12" i="41"/>
  <c r="Y12" i="41" s="1"/>
  <c r="W13" i="41"/>
  <c r="Y13" i="41" s="1"/>
  <c r="W14" i="41"/>
  <c r="Y14" i="41" s="1"/>
  <c r="W16" i="41"/>
  <c r="Y16" i="41" s="1"/>
  <c r="W17" i="41"/>
  <c r="Y17" i="41" s="1"/>
  <c r="W18" i="41"/>
  <c r="Y18" i="41" s="1"/>
  <c r="W19" i="41"/>
  <c r="Y19" i="41" s="1"/>
  <c r="W20" i="41"/>
  <c r="Y20" i="41" s="1"/>
  <c r="W21" i="41"/>
  <c r="Y21" i="41" s="1"/>
  <c r="W23" i="41"/>
  <c r="Y23" i="41" s="1"/>
  <c r="W24" i="41"/>
  <c r="Y24" i="41" s="1"/>
  <c r="W25" i="41"/>
  <c r="Y25" i="41" s="1"/>
  <c r="W26" i="41"/>
  <c r="Y26" i="41" s="1"/>
  <c r="W27" i="41"/>
  <c r="Y27" i="41" s="1"/>
  <c r="W28" i="41"/>
  <c r="Y28" i="41" s="1"/>
  <c r="W29" i="41"/>
  <c r="Y29" i="41" s="1"/>
  <c r="W30" i="41"/>
  <c r="Y30" i="41" s="1"/>
  <c r="W31" i="41"/>
  <c r="Y31" i="41" s="1"/>
  <c r="W32" i="41"/>
  <c r="Y32" i="41" s="1"/>
  <c r="W33" i="41"/>
  <c r="Y33" i="41" s="1"/>
  <c r="W34" i="41"/>
  <c r="Y34" i="41" s="1"/>
  <c r="W35" i="41"/>
  <c r="Y35" i="41" s="1"/>
  <c r="W36" i="41"/>
  <c r="Y36" i="41" s="1"/>
  <c r="W37" i="41"/>
  <c r="Y37" i="41" s="1"/>
  <c r="W38" i="41"/>
  <c r="Y38" i="41" s="1"/>
  <c r="W39" i="41"/>
  <c r="Y39" i="41" s="1"/>
  <c r="W9" i="41"/>
  <c r="Y9" i="41" s="1"/>
  <c r="AF10" i="41"/>
  <c r="AH10" i="41" s="1"/>
  <c r="AJ10" i="41" s="1"/>
  <c r="AF11" i="41"/>
  <c r="AH11" i="41" s="1"/>
  <c r="AJ11" i="41" s="1"/>
  <c r="AF12" i="41"/>
  <c r="AH12" i="41" s="1"/>
  <c r="AJ12" i="41" s="1"/>
  <c r="AF13" i="41"/>
  <c r="AH13" i="41" s="1"/>
  <c r="AJ13" i="41" s="1"/>
  <c r="AF14" i="41"/>
  <c r="AH14" i="41" s="1"/>
  <c r="AJ14" i="41" s="1"/>
  <c r="AF16" i="41"/>
  <c r="AH16" i="41" s="1"/>
  <c r="AJ16" i="41" s="1"/>
  <c r="AF17" i="41"/>
  <c r="AH17" i="41" s="1"/>
  <c r="AJ17" i="41" s="1"/>
  <c r="AF18" i="41"/>
  <c r="AH18" i="41" s="1"/>
  <c r="AJ18" i="41" s="1"/>
  <c r="AF19" i="41"/>
  <c r="AH19" i="41" s="1"/>
  <c r="AJ19" i="41" s="1"/>
  <c r="AF20" i="41"/>
  <c r="AH20" i="41" s="1"/>
  <c r="AJ20" i="41" s="1"/>
  <c r="AF21" i="41"/>
  <c r="AH21" i="41" s="1"/>
  <c r="AJ21" i="41" s="1"/>
  <c r="AF23" i="41"/>
  <c r="AH23" i="41" s="1"/>
  <c r="AJ23" i="41" s="1"/>
  <c r="AF24" i="41"/>
  <c r="AH24" i="41" s="1"/>
  <c r="AJ24" i="41" s="1"/>
  <c r="AF25" i="41"/>
  <c r="AH25" i="41" s="1"/>
  <c r="AJ25" i="41" s="1"/>
  <c r="AF26" i="41"/>
  <c r="AH26" i="41" s="1"/>
  <c r="AJ26" i="41" s="1"/>
  <c r="AF27" i="41"/>
  <c r="AH27" i="41" s="1"/>
  <c r="AJ27" i="41" s="1"/>
  <c r="AF28" i="41"/>
  <c r="AH28" i="41" s="1"/>
  <c r="AJ28" i="41" s="1"/>
  <c r="AF29" i="41"/>
  <c r="AH29" i="41" s="1"/>
  <c r="AJ29" i="41" s="1"/>
  <c r="AF30" i="41"/>
  <c r="AH30" i="41" s="1"/>
  <c r="AJ30" i="41" s="1"/>
  <c r="AF31" i="41"/>
  <c r="AH31" i="41" s="1"/>
  <c r="AJ31" i="41" s="1"/>
  <c r="AF32" i="41"/>
  <c r="AH32" i="41" s="1"/>
  <c r="AJ32" i="41" s="1"/>
  <c r="AF33" i="41"/>
  <c r="AH33" i="41" s="1"/>
  <c r="AJ33" i="41" s="1"/>
  <c r="AF34" i="41"/>
  <c r="AH34" i="41" s="1"/>
  <c r="AJ34" i="41" s="1"/>
  <c r="AF35" i="41"/>
  <c r="AH35" i="41" s="1"/>
  <c r="AJ35" i="41" s="1"/>
  <c r="AF36" i="41"/>
  <c r="AH36" i="41" s="1"/>
  <c r="AJ36" i="41" s="1"/>
  <c r="AF37" i="41"/>
  <c r="AH37" i="41" s="1"/>
  <c r="AJ37" i="41" s="1"/>
  <c r="AF38" i="41"/>
  <c r="AH38" i="41" s="1"/>
  <c r="AJ38" i="41" s="1"/>
  <c r="AF39" i="41"/>
  <c r="AH39" i="41" s="1"/>
  <c r="AJ39" i="41" s="1"/>
  <c r="AF9" i="41"/>
  <c r="AH9" i="41" s="1"/>
  <c r="AJ9" i="41" s="1"/>
  <c r="AP15" i="41" l="1"/>
  <c r="AE22" i="41"/>
  <c r="AP22" i="41" s="1"/>
  <c r="U11" i="6"/>
  <c r="AS11" i="6" s="1"/>
  <c r="U35" i="6"/>
  <c r="AS35" i="6" s="1"/>
  <c r="U27" i="6"/>
  <c r="AS27" i="6" s="1"/>
  <c r="U22" i="6"/>
  <c r="AS22" i="6" s="1"/>
  <c r="U16" i="6"/>
  <c r="AS16" i="6" s="1"/>
  <c r="U41" i="6"/>
  <c r="AS41" i="6" s="1"/>
  <c r="U29" i="6"/>
  <c r="AS29" i="6" s="1"/>
  <c r="U25" i="6"/>
  <c r="AS25" i="6" s="1"/>
  <c r="U19" i="6"/>
  <c r="AS19" i="6" s="1"/>
  <c r="U14" i="6"/>
  <c r="AS14" i="6" s="1"/>
  <c r="U34" i="6"/>
  <c r="AS34" i="6" s="1"/>
  <c r="U30" i="6"/>
  <c r="AS30" i="6" s="1"/>
  <c r="AP11" i="41"/>
  <c r="AQ11" i="41" s="1"/>
  <c r="AS11" i="41" s="1"/>
  <c r="AU11" i="41" s="1"/>
  <c r="U32" i="6"/>
  <c r="AS32" i="6" s="1"/>
  <c r="U23" i="6"/>
  <c r="AS23" i="6" s="1"/>
  <c r="U18" i="6"/>
  <c r="AS18" i="6" s="1"/>
  <c r="AR15" i="19"/>
  <c r="AS9" i="19"/>
  <c r="AU9" i="19" s="1"/>
  <c r="AW9" i="19" s="1"/>
  <c r="AS16" i="19"/>
  <c r="AU16" i="19" s="1"/>
  <c r="AW16" i="19" s="1"/>
  <c r="Y19" i="19"/>
  <c r="AA19" i="19" s="1"/>
  <c r="AS11" i="19"/>
  <c r="AU11" i="19" s="1"/>
  <c r="AW11" i="19" s="1"/>
  <c r="AS10" i="19"/>
  <c r="AU10" i="19" s="1"/>
  <c r="AW10" i="19" s="1"/>
  <c r="U12" i="6"/>
  <c r="AS12" i="6" s="1"/>
  <c r="X22" i="19"/>
  <c r="U13" i="6" l="1"/>
  <c r="AS13" i="6" s="1"/>
  <c r="U17" i="6"/>
  <c r="AR22" i="19"/>
  <c r="AQ43" i="6"/>
  <c r="AF41" i="6"/>
  <c r="AH41" i="6" s="1"/>
  <c r="AJ41" i="6" s="1"/>
  <c r="AL41" i="6" s="1"/>
  <c r="AF43" i="6"/>
  <c r="AH43" i="6" s="1"/>
  <c r="AJ43" i="6" s="1"/>
  <c r="AL43" i="6" s="1"/>
  <c r="AF45" i="6"/>
  <c r="AF25" i="6"/>
  <c r="AH25" i="6" s="1"/>
  <c r="AJ25" i="6" s="1"/>
  <c r="AL25" i="6" s="1"/>
  <c r="AE15" i="6"/>
  <c r="AE22" i="6"/>
  <c r="AF22" i="6" s="1"/>
  <c r="AH22" i="6" s="1"/>
  <c r="AJ22" i="6" s="1"/>
  <c r="AL22" i="6" s="1"/>
  <c r="AF23" i="6"/>
  <c r="AH23" i="6" s="1"/>
  <c r="AJ23" i="6" s="1"/>
  <c r="AL23" i="6" s="1"/>
  <c r="U24" i="6" l="1"/>
  <c r="GO12" i="8"/>
  <c r="FI16" i="8" l="1"/>
  <c r="FJ16" i="8" s="1"/>
  <c r="FL16" i="8" s="1"/>
  <c r="FM16" i="8"/>
  <c r="FM54" i="8"/>
  <c r="FM46" i="8"/>
  <c r="R23" i="8"/>
  <c r="FJ10" i="8"/>
  <c r="FL10" i="8" s="1"/>
  <c r="FJ11" i="8"/>
  <c r="FL11" i="8" s="1"/>
  <c r="FJ12" i="8"/>
  <c r="FL12" i="8" s="1"/>
  <c r="FJ13" i="8"/>
  <c r="FL13" i="8" s="1"/>
  <c r="FJ14" i="8"/>
  <c r="FL14" i="8" s="1"/>
  <c r="FJ15" i="8"/>
  <c r="FL15" i="8" s="1"/>
  <c r="FJ17" i="8"/>
  <c r="FL17" i="8" s="1"/>
  <c r="FJ18" i="8"/>
  <c r="FL18" i="8" s="1"/>
  <c r="FJ19" i="8"/>
  <c r="FL19" i="8" s="1"/>
  <c r="FJ20" i="8"/>
  <c r="FL20" i="8" s="1"/>
  <c r="FJ21" i="8"/>
  <c r="FL21" i="8" s="1"/>
  <c r="FJ22" i="8"/>
  <c r="FL22" i="8" s="1"/>
  <c r="FJ24" i="8"/>
  <c r="FL24" i="8" s="1"/>
  <c r="FJ25" i="8"/>
  <c r="FL25" i="8" s="1"/>
  <c r="FJ26" i="8"/>
  <c r="FL26" i="8" s="1"/>
  <c r="FJ27" i="8"/>
  <c r="FL27" i="8" s="1"/>
  <c r="FJ28" i="8"/>
  <c r="FL28" i="8" s="1"/>
  <c r="FJ29" i="8"/>
  <c r="FL29" i="8" s="1"/>
  <c r="FJ30" i="8"/>
  <c r="FL30" i="8" s="1"/>
  <c r="FJ31" i="8"/>
  <c r="FL31" i="8" s="1"/>
  <c r="FJ32" i="8"/>
  <c r="FL32" i="8" s="1"/>
  <c r="FJ33" i="8"/>
  <c r="FL33" i="8" s="1"/>
  <c r="FJ34" i="8"/>
  <c r="FL34" i="8" s="1"/>
  <c r="FJ35" i="8"/>
  <c r="FL35" i="8" s="1"/>
  <c r="FJ36" i="8"/>
  <c r="FL36" i="8" s="1"/>
  <c r="FJ37" i="8"/>
  <c r="FL37" i="8" s="1"/>
  <c r="FJ38" i="8"/>
  <c r="FL38" i="8" s="1"/>
  <c r="FJ39" i="8"/>
  <c r="FL39" i="8" s="1"/>
  <c r="FJ41" i="8"/>
  <c r="FL41" i="8" s="1"/>
  <c r="FJ9" i="8"/>
  <c r="FL9" i="8" s="1"/>
  <c r="FM17" i="8"/>
  <c r="CS10" i="8"/>
  <c r="CU10" i="8" s="1"/>
  <c r="CW10" i="8" s="1"/>
  <c r="CS11" i="8"/>
  <c r="CU11" i="8" s="1"/>
  <c r="CW11" i="8" s="1"/>
  <c r="CS12" i="8"/>
  <c r="CU12" i="8" s="1"/>
  <c r="CW12" i="8" s="1"/>
  <c r="CS13" i="8"/>
  <c r="CU13" i="8" s="1"/>
  <c r="CW13" i="8" s="1"/>
  <c r="CS14" i="8"/>
  <c r="CU14" i="8" s="1"/>
  <c r="CW14" i="8" s="1"/>
  <c r="CS16" i="8"/>
  <c r="CU16" i="8" s="1"/>
  <c r="CW16" i="8" s="1"/>
  <c r="CS17" i="8"/>
  <c r="CU17" i="8" s="1"/>
  <c r="CW17" i="8" s="1"/>
  <c r="CS18" i="8"/>
  <c r="CU18" i="8" s="1"/>
  <c r="CW18" i="8" s="1"/>
  <c r="CS20" i="8"/>
  <c r="CU20" i="8" s="1"/>
  <c r="CW20" i="8" s="1"/>
  <c r="CS21" i="8"/>
  <c r="CU21" i="8" s="1"/>
  <c r="CW21" i="8" s="1"/>
  <c r="CS22" i="8"/>
  <c r="CU22" i="8" s="1"/>
  <c r="CW22" i="8" s="1"/>
  <c r="CS24" i="8"/>
  <c r="CU24" i="8" s="1"/>
  <c r="CW24" i="8" s="1"/>
  <c r="CS25" i="8"/>
  <c r="CU25" i="8" s="1"/>
  <c r="CW25" i="8" s="1"/>
  <c r="CS26" i="8"/>
  <c r="CU26" i="8" s="1"/>
  <c r="CW26" i="8" s="1"/>
  <c r="CS27" i="8"/>
  <c r="CU27" i="8" s="1"/>
  <c r="CW27" i="8" s="1"/>
  <c r="CS28" i="8"/>
  <c r="CU28" i="8" s="1"/>
  <c r="CW28" i="8" s="1"/>
  <c r="CS29" i="8"/>
  <c r="CU29" i="8" s="1"/>
  <c r="CW29" i="8" s="1"/>
  <c r="CS31" i="8"/>
  <c r="CU31" i="8" s="1"/>
  <c r="CW31" i="8" s="1"/>
  <c r="CS32" i="8"/>
  <c r="CU32" i="8" s="1"/>
  <c r="CW32" i="8" s="1"/>
  <c r="CS33" i="8"/>
  <c r="CU33" i="8" s="1"/>
  <c r="CW33" i="8" s="1"/>
  <c r="CS36" i="8"/>
  <c r="CU36" i="8" s="1"/>
  <c r="CW36" i="8" s="1"/>
  <c r="CS37" i="8"/>
  <c r="CU37" i="8" s="1"/>
  <c r="CW37" i="8" s="1"/>
  <c r="CS38" i="8"/>
  <c r="CU38" i="8" s="1"/>
  <c r="CW38" i="8" s="1"/>
  <c r="CS39" i="8"/>
  <c r="CU39" i="8" s="1"/>
  <c r="CW39" i="8" s="1"/>
  <c r="CS41" i="8"/>
  <c r="CU41" i="8" s="1"/>
  <c r="CW41" i="8" s="1"/>
  <c r="CS9" i="8"/>
  <c r="CU9" i="8" s="1"/>
  <c r="CW9" i="8" s="1"/>
  <c r="DP35" i="8"/>
  <c r="DP40" i="8" s="1"/>
  <c r="G23" i="8"/>
  <c r="GS41" i="8" l="1"/>
  <c r="GU41" i="8" s="1"/>
  <c r="GR10" i="8"/>
  <c r="GR11" i="8"/>
  <c r="GR12" i="8"/>
  <c r="GR16" i="8"/>
  <c r="GR17" i="8"/>
  <c r="AE19" i="6" s="1"/>
  <c r="AF19" i="6" s="1"/>
  <c r="AH19" i="6" s="1"/>
  <c r="AJ19" i="6" s="1"/>
  <c r="AL19" i="6" s="1"/>
  <c r="GR18" i="8"/>
  <c r="GR19" i="8"/>
  <c r="GS20" i="8"/>
  <c r="GU20" i="8" s="1"/>
  <c r="GW20" i="8" s="1"/>
  <c r="GY20" i="8" s="1"/>
  <c r="GS21" i="8"/>
  <c r="GU21" i="8" s="1"/>
  <c r="GW21" i="8" s="1"/>
  <c r="GY21" i="8" s="1"/>
  <c r="GR22" i="8"/>
  <c r="GS22" i="8" s="1"/>
  <c r="GU22" i="8" s="1"/>
  <c r="GW22" i="8" s="1"/>
  <c r="GY22" i="8" s="1"/>
  <c r="GR24" i="8"/>
  <c r="GS24" i="8" s="1"/>
  <c r="GU24" i="8" s="1"/>
  <c r="GW24" i="8" s="1"/>
  <c r="GY24" i="8" s="1"/>
  <c r="GR25" i="8"/>
  <c r="AE28" i="6" s="1"/>
  <c r="AF28" i="6" s="1"/>
  <c r="AH28" i="6" s="1"/>
  <c r="AJ28" i="6" s="1"/>
  <c r="AL28" i="6" s="1"/>
  <c r="GR26" i="8"/>
  <c r="GR27" i="8"/>
  <c r="GR28" i="8"/>
  <c r="GR29" i="8"/>
  <c r="AE32" i="6" s="1"/>
  <c r="AF32" i="6" s="1"/>
  <c r="AH32" i="6" s="1"/>
  <c r="AJ32" i="6" s="1"/>
  <c r="AL32" i="6" s="1"/>
  <c r="GR31" i="8"/>
  <c r="GR32" i="8"/>
  <c r="GR33" i="8"/>
  <c r="GR34" i="8"/>
  <c r="GR35" i="8"/>
  <c r="GR36" i="8"/>
  <c r="GR37" i="8"/>
  <c r="GR38" i="8"/>
  <c r="GS38" i="8" s="1"/>
  <c r="GU38" i="8" s="1"/>
  <c r="GW38" i="8" s="1"/>
  <c r="GY38" i="8" s="1"/>
  <c r="GR39" i="8"/>
  <c r="GS39" i="8" s="1"/>
  <c r="GU39" i="8" s="1"/>
  <c r="GW39" i="8" s="1"/>
  <c r="GY39" i="8" s="1"/>
  <c r="GR9" i="8"/>
  <c r="DF40" i="8"/>
  <c r="BL10" i="8"/>
  <c r="BN10" i="8" s="1"/>
  <c r="BL11" i="8"/>
  <c r="BN11" i="8" s="1"/>
  <c r="BL12" i="8"/>
  <c r="BN12" i="8" s="1"/>
  <c r="BL13" i="8"/>
  <c r="BN13" i="8" s="1"/>
  <c r="BL14" i="8"/>
  <c r="BN14" i="8" s="1"/>
  <c r="BL16" i="8"/>
  <c r="BN16" i="8" s="1"/>
  <c r="BL17" i="8"/>
  <c r="BN17" i="8" s="1"/>
  <c r="BL18" i="8"/>
  <c r="BN18" i="8" s="1"/>
  <c r="BL20" i="8"/>
  <c r="BN20" i="8" s="1"/>
  <c r="BL21" i="8"/>
  <c r="BN21" i="8" s="1"/>
  <c r="BL22" i="8"/>
  <c r="BN22" i="8" s="1"/>
  <c r="BL24" i="8"/>
  <c r="BN24" i="8" s="1"/>
  <c r="BL25" i="8"/>
  <c r="BN25" i="8" s="1"/>
  <c r="BL26" i="8"/>
  <c r="BN26" i="8" s="1"/>
  <c r="BL27" i="8"/>
  <c r="BN27" i="8" s="1"/>
  <c r="BL28" i="8"/>
  <c r="BN28" i="8" s="1"/>
  <c r="BL29" i="8"/>
  <c r="BN29" i="8" s="1"/>
  <c r="BL31" i="8"/>
  <c r="BN31" i="8" s="1"/>
  <c r="BL32" i="8"/>
  <c r="BN32" i="8" s="1"/>
  <c r="BL33" i="8"/>
  <c r="BN33" i="8" s="1"/>
  <c r="BL36" i="8"/>
  <c r="BN36" i="8" s="1"/>
  <c r="BL37" i="8"/>
  <c r="BN37" i="8" s="1"/>
  <c r="BL38" i="8"/>
  <c r="BN38" i="8" s="1"/>
  <c r="BL39" i="8"/>
  <c r="BN39" i="8" s="1"/>
  <c r="BL9" i="8"/>
  <c r="BN9" i="8" s="1"/>
  <c r="DT10" i="8"/>
  <c r="DT11" i="8"/>
  <c r="DT12" i="8"/>
  <c r="DT13" i="8"/>
  <c r="DT14" i="8"/>
  <c r="DT16" i="8"/>
  <c r="DT17" i="8"/>
  <c r="DT18" i="8"/>
  <c r="DT24" i="8"/>
  <c r="DT25" i="8"/>
  <c r="DT26" i="8"/>
  <c r="DT27" i="8"/>
  <c r="DT28" i="8"/>
  <c r="DT29" i="8"/>
  <c r="DT31" i="8"/>
  <c r="DT32" i="8"/>
  <c r="DT33" i="8"/>
  <c r="DT35" i="8"/>
  <c r="DT36" i="8"/>
  <c r="DT37" i="8"/>
  <c r="DT38" i="8"/>
  <c r="DT39" i="8"/>
  <c r="DT40" i="8"/>
  <c r="DT9" i="8"/>
  <c r="EO10" i="8"/>
  <c r="EQ10" i="8" s="1"/>
  <c r="ES10" i="8" s="1"/>
  <c r="EO11" i="8"/>
  <c r="EQ11" i="8" s="1"/>
  <c r="ES11" i="8" s="1"/>
  <c r="EO12" i="8"/>
  <c r="EQ12" i="8" s="1"/>
  <c r="ES12" i="8" s="1"/>
  <c r="EO13" i="8"/>
  <c r="EQ13" i="8" s="1"/>
  <c r="ES13" i="8" s="1"/>
  <c r="EO14" i="8"/>
  <c r="EQ14" i="8" s="1"/>
  <c r="ES14" i="8" s="1"/>
  <c r="EO15" i="8"/>
  <c r="EQ15" i="8" s="1"/>
  <c r="ES15" i="8" s="1"/>
  <c r="EO16" i="8"/>
  <c r="EQ16" i="8" s="1"/>
  <c r="ES16" i="8" s="1"/>
  <c r="EO17" i="8"/>
  <c r="EQ17" i="8" s="1"/>
  <c r="ES17" i="8" s="1"/>
  <c r="EO18" i="8"/>
  <c r="EQ18" i="8" s="1"/>
  <c r="ES18" i="8" s="1"/>
  <c r="EO19" i="8"/>
  <c r="EQ19" i="8" s="1"/>
  <c r="ES19" i="8" s="1"/>
  <c r="EO20" i="8"/>
  <c r="EQ20" i="8" s="1"/>
  <c r="ES20" i="8" s="1"/>
  <c r="EO21" i="8"/>
  <c r="EQ21" i="8" s="1"/>
  <c r="ES21" i="8" s="1"/>
  <c r="EO22" i="8"/>
  <c r="EQ22" i="8" s="1"/>
  <c r="ES22" i="8" s="1"/>
  <c r="EO23" i="8"/>
  <c r="EQ23" i="8" s="1"/>
  <c r="ES23" i="8" s="1"/>
  <c r="EO24" i="8"/>
  <c r="EQ24" i="8" s="1"/>
  <c r="ES24" i="8" s="1"/>
  <c r="EO25" i="8"/>
  <c r="EQ25" i="8" s="1"/>
  <c r="ES25" i="8" s="1"/>
  <c r="EO26" i="8"/>
  <c r="EQ26" i="8" s="1"/>
  <c r="ES26" i="8" s="1"/>
  <c r="EO27" i="8"/>
  <c r="EQ27" i="8" s="1"/>
  <c r="ES27" i="8" s="1"/>
  <c r="EO28" i="8"/>
  <c r="EQ28" i="8" s="1"/>
  <c r="ES28" i="8" s="1"/>
  <c r="EO29" i="8"/>
  <c r="EQ29" i="8" s="1"/>
  <c r="ES29" i="8" s="1"/>
  <c r="EO31" i="8"/>
  <c r="EQ31" i="8" s="1"/>
  <c r="ES31" i="8" s="1"/>
  <c r="EO32" i="8"/>
  <c r="EQ32" i="8" s="1"/>
  <c r="ES32" i="8" s="1"/>
  <c r="EO33" i="8"/>
  <c r="EQ33" i="8" s="1"/>
  <c r="ES33" i="8" s="1"/>
  <c r="EO36" i="8"/>
  <c r="EQ36" i="8" s="1"/>
  <c r="ES36" i="8" s="1"/>
  <c r="EO37" i="8"/>
  <c r="EQ37" i="8" s="1"/>
  <c r="ES37" i="8" s="1"/>
  <c r="EO38" i="8"/>
  <c r="EQ38" i="8" s="1"/>
  <c r="ES38" i="8" s="1"/>
  <c r="EO39" i="8"/>
  <c r="EQ39" i="8" s="1"/>
  <c r="ES39" i="8" s="1"/>
  <c r="EO41" i="8"/>
  <c r="EQ41" i="8" s="1"/>
  <c r="ES41" i="8" s="1"/>
  <c r="EO9" i="8"/>
  <c r="EQ9" i="8" s="1"/>
  <c r="ES9" i="8" s="1"/>
  <c r="DG10" i="8"/>
  <c r="DI10" i="8" s="1"/>
  <c r="DK10" i="8" s="1"/>
  <c r="DM10" i="8" s="1"/>
  <c r="DG11" i="8"/>
  <c r="DI11" i="8" s="1"/>
  <c r="DK11" i="8" s="1"/>
  <c r="DM11" i="8" s="1"/>
  <c r="DG12" i="8"/>
  <c r="DI12" i="8" s="1"/>
  <c r="DK12" i="8" s="1"/>
  <c r="DM12" i="8" s="1"/>
  <c r="DG13" i="8"/>
  <c r="DI13" i="8" s="1"/>
  <c r="DK13" i="8" s="1"/>
  <c r="DM13" i="8" s="1"/>
  <c r="DG14" i="8"/>
  <c r="DI14" i="8" s="1"/>
  <c r="DK14" i="8" s="1"/>
  <c r="DM14" i="8" s="1"/>
  <c r="DG16" i="8"/>
  <c r="DI16" i="8" s="1"/>
  <c r="DK16" i="8" s="1"/>
  <c r="DM16" i="8" s="1"/>
  <c r="DG17" i="8"/>
  <c r="DI17" i="8" s="1"/>
  <c r="DK17" i="8" s="1"/>
  <c r="DM17" i="8" s="1"/>
  <c r="DG18" i="8"/>
  <c r="DI18" i="8" s="1"/>
  <c r="DK18" i="8" s="1"/>
  <c r="DM18" i="8" s="1"/>
  <c r="DG20" i="8"/>
  <c r="DI20" i="8" s="1"/>
  <c r="DK20" i="8" s="1"/>
  <c r="DM20" i="8" s="1"/>
  <c r="DG22" i="8"/>
  <c r="DI22" i="8" s="1"/>
  <c r="DK22" i="8" s="1"/>
  <c r="DM22" i="8" s="1"/>
  <c r="DG24" i="8"/>
  <c r="DI24" i="8" s="1"/>
  <c r="DK24" i="8" s="1"/>
  <c r="DM24" i="8" s="1"/>
  <c r="DG25" i="8"/>
  <c r="DI25" i="8" s="1"/>
  <c r="DK25" i="8" s="1"/>
  <c r="DM25" i="8" s="1"/>
  <c r="DG26" i="8"/>
  <c r="DI26" i="8" s="1"/>
  <c r="DK26" i="8" s="1"/>
  <c r="DM26" i="8" s="1"/>
  <c r="DG27" i="8"/>
  <c r="DI27" i="8" s="1"/>
  <c r="DK27" i="8" s="1"/>
  <c r="DM27" i="8" s="1"/>
  <c r="DG28" i="8"/>
  <c r="DI28" i="8" s="1"/>
  <c r="DK28" i="8" s="1"/>
  <c r="DM28" i="8" s="1"/>
  <c r="DG29" i="8"/>
  <c r="DI29" i="8" s="1"/>
  <c r="DK29" i="8" s="1"/>
  <c r="DM29" i="8" s="1"/>
  <c r="DG31" i="8"/>
  <c r="DI31" i="8" s="1"/>
  <c r="DK31" i="8" s="1"/>
  <c r="DM31" i="8" s="1"/>
  <c r="DG32" i="8"/>
  <c r="DI32" i="8" s="1"/>
  <c r="DK32" i="8" s="1"/>
  <c r="DM32" i="8" s="1"/>
  <c r="DG33" i="8"/>
  <c r="DI33" i="8" s="1"/>
  <c r="DK33" i="8" s="1"/>
  <c r="DM33" i="8" s="1"/>
  <c r="DG36" i="8"/>
  <c r="DI36" i="8" s="1"/>
  <c r="DK36" i="8" s="1"/>
  <c r="DM36" i="8" s="1"/>
  <c r="DG37" i="8"/>
  <c r="DI37" i="8" s="1"/>
  <c r="DK37" i="8" s="1"/>
  <c r="DM37" i="8" s="1"/>
  <c r="DG38" i="8"/>
  <c r="DI38" i="8" s="1"/>
  <c r="DK38" i="8" s="1"/>
  <c r="DM38" i="8" s="1"/>
  <c r="DG39" i="8"/>
  <c r="DI39" i="8" s="1"/>
  <c r="DK39" i="8" s="1"/>
  <c r="DM39" i="8" s="1"/>
  <c r="DG9" i="8"/>
  <c r="DI9" i="8" s="1"/>
  <c r="DK9" i="8" s="1"/>
  <c r="DM9" i="8" s="1"/>
  <c r="G13" i="8"/>
  <c r="GR15" i="8" s="1"/>
  <c r="AE17" i="6" s="1"/>
  <c r="S10" i="8"/>
  <c r="U10" i="8" s="1"/>
  <c r="W10" i="8" s="1"/>
  <c r="Y10" i="8" s="1"/>
  <c r="S11" i="8"/>
  <c r="U11" i="8" s="1"/>
  <c r="W11" i="8" s="1"/>
  <c r="Y11" i="8" s="1"/>
  <c r="S12" i="8"/>
  <c r="U12" i="8" s="1"/>
  <c r="W12" i="8" s="1"/>
  <c r="Y12" i="8" s="1"/>
  <c r="S13" i="8"/>
  <c r="U13" i="8" s="1"/>
  <c r="W13" i="8" s="1"/>
  <c r="Y13" i="8" s="1"/>
  <c r="S14" i="8"/>
  <c r="U14" i="8" s="1"/>
  <c r="W14" i="8" s="1"/>
  <c r="Y14" i="8" s="1"/>
  <c r="S16" i="8"/>
  <c r="U16" i="8" s="1"/>
  <c r="W16" i="8" s="1"/>
  <c r="Y16" i="8" s="1"/>
  <c r="S17" i="8"/>
  <c r="U17" i="8" s="1"/>
  <c r="W17" i="8" s="1"/>
  <c r="Y17" i="8" s="1"/>
  <c r="S18" i="8"/>
  <c r="U18" i="8" s="1"/>
  <c r="W18" i="8" s="1"/>
  <c r="Y18" i="8" s="1"/>
  <c r="S20" i="8"/>
  <c r="U20" i="8" s="1"/>
  <c r="W20" i="8" s="1"/>
  <c r="Y20" i="8" s="1"/>
  <c r="S21" i="8"/>
  <c r="U21" i="8" s="1"/>
  <c r="W21" i="8" s="1"/>
  <c r="Y21" i="8" s="1"/>
  <c r="S22" i="8"/>
  <c r="U22" i="8" s="1"/>
  <c r="W22" i="8" s="1"/>
  <c r="Y22" i="8" s="1"/>
  <c r="S24" i="8"/>
  <c r="U24" i="8" s="1"/>
  <c r="W24" i="8" s="1"/>
  <c r="Y24" i="8" s="1"/>
  <c r="S25" i="8"/>
  <c r="U25" i="8" s="1"/>
  <c r="W25" i="8" s="1"/>
  <c r="Y25" i="8" s="1"/>
  <c r="S26" i="8"/>
  <c r="U26" i="8" s="1"/>
  <c r="W26" i="8" s="1"/>
  <c r="Y26" i="8" s="1"/>
  <c r="S27" i="8"/>
  <c r="U27" i="8" s="1"/>
  <c r="W27" i="8" s="1"/>
  <c r="Y27" i="8" s="1"/>
  <c r="S28" i="8"/>
  <c r="U28" i="8" s="1"/>
  <c r="W28" i="8" s="1"/>
  <c r="Y28" i="8" s="1"/>
  <c r="S29" i="8"/>
  <c r="U29" i="8" s="1"/>
  <c r="W29" i="8" s="1"/>
  <c r="Y29" i="8" s="1"/>
  <c r="S31" i="8"/>
  <c r="U31" i="8" s="1"/>
  <c r="W31" i="8" s="1"/>
  <c r="Y31" i="8" s="1"/>
  <c r="S32" i="8"/>
  <c r="U32" i="8" s="1"/>
  <c r="W32" i="8" s="1"/>
  <c r="Y32" i="8" s="1"/>
  <c r="S33" i="8"/>
  <c r="U33" i="8" s="1"/>
  <c r="W33" i="8" s="1"/>
  <c r="Y33" i="8" s="1"/>
  <c r="S36" i="8"/>
  <c r="U36" i="8" s="1"/>
  <c r="W36" i="8" s="1"/>
  <c r="Y36" i="8" s="1"/>
  <c r="S37" i="8"/>
  <c r="U37" i="8" s="1"/>
  <c r="W37" i="8" s="1"/>
  <c r="Y37" i="8" s="1"/>
  <c r="S38" i="8"/>
  <c r="U38" i="8" s="1"/>
  <c r="W38" i="8" s="1"/>
  <c r="Y38" i="8" s="1"/>
  <c r="S39" i="8"/>
  <c r="U39" i="8" s="1"/>
  <c r="W39" i="8" s="1"/>
  <c r="Y39" i="8" s="1"/>
  <c r="S9" i="8"/>
  <c r="U9" i="8" s="1"/>
  <c r="W9" i="8" s="1"/>
  <c r="Y9" i="8" s="1"/>
  <c r="H10" i="8"/>
  <c r="J10" i="8" s="1"/>
  <c r="L10" i="8" s="1"/>
  <c r="N10" i="8" s="1"/>
  <c r="H11" i="8"/>
  <c r="J11" i="8" s="1"/>
  <c r="L11" i="8" s="1"/>
  <c r="N11" i="8" s="1"/>
  <c r="H12" i="8"/>
  <c r="J12" i="8" s="1"/>
  <c r="L12" i="8" s="1"/>
  <c r="N12" i="8" s="1"/>
  <c r="H16" i="8"/>
  <c r="J16" i="8" s="1"/>
  <c r="L16" i="8" s="1"/>
  <c r="N16" i="8" s="1"/>
  <c r="H17" i="8"/>
  <c r="J17" i="8" s="1"/>
  <c r="L17" i="8" s="1"/>
  <c r="N17" i="8" s="1"/>
  <c r="H18" i="8"/>
  <c r="J18" i="8" s="1"/>
  <c r="L18" i="8" s="1"/>
  <c r="N18" i="8" s="1"/>
  <c r="H20" i="8"/>
  <c r="J20" i="8" s="1"/>
  <c r="L20" i="8" s="1"/>
  <c r="N20" i="8" s="1"/>
  <c r="H21" i="8"/>
  <c r="J21" i="8" s="1"/>
  <c r="L21" i="8" s="1"/>
  <c r="N21" i="8" s="1"/>
  <c r="H22" i="8"/>
  <c r="J22" i="8" s="1"/>
  <c r="L22" i="8" s="1"/>
  <c r="N22" i="8" s="1"/>
  <c r="H24" i="8"/>
  <c r="J24" i="8" s="1"/>
  <c r="L24" i="8" s="1"/>
  <c r="N24" i="8" s="1"/>
  <c r="H25" i="8"/>
  <c r="J25" i="8" s="1"/>
  <c r="L25" i="8" s="1"/>
  <c r="N25" i="8" s="1"/>
  <c r="H26" i="8"/>
  <c r="J26" i="8" s="1"/>
  <c r="L26" i="8" s="1"/>
  <c r="N26" i="8" s="1"/>
  <c r="H27" i="8"/>
  <c r="J27" i="8" s="1"/>
  <c r="L27" i="8" s="1"/>
  <c r="N27" i="8" s="1"/>
  <c r="H28" i="8"/>
  <c r="J28" i="8" s="1"/>
  <c r="L28" i="8" s="1"/>
  <c r="N28" i="8" s="1"/>
  <c r="H29" i="8"/>
  <c r="J29" i="8" s="1"/>
  <c r="L29" i="8" s="1"/>
  <c r="N29" i="8" s="1"/>
  <c r="H31" i="8"/>
  <c r="J31" i="8" s="1"/>
  <c r="L31" i="8" s="1"/>
  <c r="N31" i="8" s="1"/>
  <c r="H32" i="8"/>
  <c r="J32" i="8" s="1"/>
  <c r="L32" i="8" s="1"/>
  <c r="N32" i="8" s="1"/>
  <c r="H33" i="8"/>
  <c r="J33" i="8" s="1"/>
  <c r="L33" i="8" s="1"/>
  <c r="N33" i="8" s="1"/>
  <c r="H36" i="8"/>
  <c r="J36" i="8" s="1"/>
  <c r="L36" i="8" s="1"/>
  <c r="N36" i="8" s="1"/>
  <c r="H37" i="8"/>
  <c r="J37" i="8" s="1"/>
  <c r="L37" i="8" s="1"/>
  <c r="N37" i="8" s="1"/>
  <c r="H38" i="8"/>
  <c r="J38" i="8" s="1"/>
  <c r="L38" i="8" s="1"/>
  <c r="N38" i="8" s="1"/>
  <c r="H39" i="8"/>
  <c r="J39" i="8" s="1"/>
  <c r="L39" i="8" s="1"/>
  <c r="N39" i="8" s="1"/>
  <c r="H41" i="8"/>
  <c r="J41" i="8" s="1"/>
  <c r="L41" i="8" s="1"/>
  <c r="N41" i="8" s="1"/>
  <c r="H9" i="8"/>
  <c r="J9" i="8" s="1"/>
  <c r="L9" i="8" s="1"/>
  <c r="N9" i="8" s="1"/>
  <c r="FI40" i="8"/>
  <c r="FJ40" i="8" s="1"/>
  <c r="FL40" i="8" s="1"/>
  <c r="FI23" i="8"/>
  <c r="FJ23" i="8" s="1"/>
  <c r="FL23" i="8" s="1"/>
  <c r="FD10" i="8"/>
  <c r="FD11" i="8"/>
  <c r="FD12" i="8"/>
  <c r="FD13" i="8"/>
  <c r="FD14" i="8"/>
  <c r="FD15" i="8"/>
  <c r="FD16" i="8"/>
  <c r="FD17" i="8"/>
  <c r="FD18" i="8"/>
  <c r="FD19" i="8"/>
  <c r="FD20" i="8"/>
  <c r="FD21" i="8"/>
  <c r="FD22" i="8"/>
  <c r="FD23" i="8"/>
  <c r="FD24" i="8"/>
  <c r="FD25" i="8"/>
  <c r="FD26" i="8"/>
  <c r="FD27" i="8"/>
  <c r="FD28" i="8"/>
  <c r="FD29" i="8"/>
  <c r="FD31" i="8"/>
  <c r="FD32" i="8"/>
  <c r="FD33" i="8"/>
  <c r="FD34" i="8"/>
  <c r="FD35" i="8"/>
  <c r="FD36" i="8"/>
  <c r="FD37" i="8"/>
  <c r="FD38" i="8"/>
  <c r="FD39" i="8"/>
  <c r="FD9" i="8"/>
  <c r="G14" i="8"/>
  <c r="GR14" i="8" s="1"/>
  <c r="AE16" i="6" s="1"/>
  <c r="GS29" i="8" l="1"/>
  <c r="GU29" i="8" s="1"/>
  <c r="GW29" i="8" s="1"/>
  <c r="GY29" i="8" s="1"/>
  <c r="GS34" i="8"/>
  <c r="AE37" i="6"/>
  <c r="AF37" i="6" s="1"/>
  <c r="GS16" i="8"/>
  <c r="GU16" i="8" s="1"/>
  <c r="GW16" i="8" s="1"/>
  <c r="GY16" i="8" s="1"/>
  <c r="AE18" i="6"/>
  <c r="AF18" i="6" s="1"/>
  <c r="AH18" i="6" s="1"/>
  <c r="AJ18" i="6" s="1"/>
  <c r="AL18" i="6" s="1"/>
  <c r="GR30" i="8"/>
  <c r="GS37" i="8"/>
  <c r="GU37" i="8" s="1"/>
  <c r="GW37" i="8" s="1"/>
  <c r="GY37" i="8" s="1"/>
  <c r="AE40" i="6"/>
  <c r="AF40" i="6" s="1"/>
  <c r="AH40" i="6" s="1"/>
  <c r="AJ40" i="6" s="1"/>
  <c r="AL40" i="6" s="1"/>
  <c r="GS33" i="8"/>
  <c r="GU33" i="8" s="1"/>
  <c r="GW33" i="8" s="1"/>
  <c r="GY33" i="8" s="1"/>
  <c r="AE36" i="6"/>
  <c r="AF36" i="6" s="1"/>
  <c r="AH36" i="6" s="1"/>
  <c r="AJ36" i="6" s="1"/>
  <c r="AL36" i="6" s="1"/>
  <c r="GS28" i="8"/>
  <c r="GU28" i="8" s="1"/>
  <c r="GW28" i="8" s="1"/>
  <c r="GY28" i="8" s="1"/>
  <c r="AE31" i="6"/>
  <c r="AF31" i="6" s="1"/>
  <c r="AH31" i="6" s="1"/>
  <c r="AJ31" i="6" s="1"/>
  <c r="AL31" i="6" s="1"/>
  <c r="GS19" i="8"/>
  <c r="GU19" i="8" s="1"/>
  <c r="GW19" i="8" s="1"/>
  <c r="GY19" i="8" s="1"/>
  <c r="AE21" i="6"/>
  <c r="AF21" i="6" s="1"/>
  <c r="AH21" i="6" s="1"/>
  <c r="AJ21" i="6" s="1"/>
  <c r="AL21" i="6" s="1"/>
  <c r="GS12" i="8"/>
  <c r="GU12" i="8" s="1"/>
  <c r="GW12" i="8" s="1"/>
  <c r="GY12" i="8" s="1"/>
  <c r="AE14" i="6"/>
  <c r="AF14" i="6" s="1"/>
  <c r="AH14" i="6" s="1"/>
  <c r="AJ14" i="6" s="1"/>
  <c r="AL14" i="6" s="1"/>
  <c r="GS9" i="8"/>
  <c r="GU9" i="8" s="1"/>
  <c r="GW9" i="8" s="1"/>
  <c r="GY9" i="8" s="1"/>
  <c r="AE11" i="6"/>
  <c r="AF11" i="6" s="1"/>
  <c r="AH11" i="6" s="1"/>
  <c r="AJ11" i="6" s="1"/>
  <c r="AL11" i="6" s="1"/>
  <c r="GS36" i="8"/>
  <c r="GU36" i="8" s="1"/>
  <c r="GW36" i="8" s="1"/>
  <c r="GY36" i="8" s="1"/>
  <c r="AE39" i="6"/>
  <c r="AF39" i="6" s="1"/>
  <c r="AH39" i="6" s="1"/>
  <c r="AJ39" i="6" s="1"/>
  <c r="AL39" i="6" s="1"/>
  <c r="GS32" i="8"/>
  <c r="GU32" i="8" s="1"/>
  <c r="GW32" i="8" s="1"/>
  <c r="GY32" i="8" s="1"/>
  <c r="AE35" i="6"/>
  <c r="AF35" i="6" s="1"/>
  <c r="AH35" i="6" s="1"/>
  <c r="AJ35" i="6" s="1"/>
  <c r="AL35" i="6" s="1"/>
  <c r="GS27" i="8"/>
  <c r="GU27" i="8" s="1"/>
  <c r="GW27" i="8" s="1"/>
  <c r="GY27" i="8" s="1"/>
  <c r="AE30" i="6"/>
  <c r="AF30" i="6" s="1"/>
  <c r="AH30" i="6" s="1"/>
  <c r="AJ30" i="6" s="1"/>
  <c r="AL30" i="6" s="1"/>
  <c r="GS18" i="8"/>
  <c r="GU18" i="8" s="1"/>
  <c r="GW18" i="8" s="1"/>
  <c r="GY18" i="8" s="1"/>
  <c r="AE20" i="6"/>
  <c r="AF20" i="6" s="1"/>
  <c r="AH20" i="6" s="1"/>
  <c r="AJ20" i="6" s="1"/>
  <c r="AL20" i="6" s="1"/>
  <c r="GS11" i="8"/>
  <c r="GU11" i="8" s="1"/>
  <c r="GW11" i="8" s="1"/>
  <c r="GY11" i="8" s="1"/>
  <c r="AE13" i="6"/>
  <c r="AF13" i="6" s="1"/>
  <c r="AH13" i="6" s="1"/>
  <c r="AJ13" i="6" s="1"/>
  <c r="AL13" i="6" s="1"/>
  <c r="GS25" i="8"/>
  <c r="GU25" i="8" s="1"/>
  <c r="GW25" i="8" s="1"/>
  <c r="GY25" i="8" s="1"/>
  <c r="GS35" i="8"/>
  <c r="AE38" i="6"/>
  <c r="AF38" i="6" s="1"/>
  <c r="GS31" i="8"/>
  <c r="GU31" i="8" s="1"/>
  <c r="GW31" i="8" s="1"/>
  <c r="GY31" i="8" s="1"/>
  <c r="AE34" i="6"/>
  <c r="AF34" i="6" s="1"/>
  <c r="AH34" i="6" s="1"/>
  <c r="AJ34" i="6" s="1"/>
  <c r="AL34" i="6" s="1"/>
  <c r="GS26" i="8"/>
  <c r="GU26" i="8" s="1"/>
  <c r="GW26" i="8" s="1"/>
  <c r="GY26" i="8" s="1"/>
  <c r="AE29" i="6"/>
  <c r="AF29" i="6" s="1"/>
  <c r="AH29" i="6" s="1"/>
  <c r="AJ29" i="6" s="1"/>
  <c r="AL29" i="6" s="1"/>
  <c r="GS10" i="8"/>
  <c r="GU10" i="8" s="1"/>
  <c r="GW10" i="8" s="1"/>
  <c r="GY10" i="8" s="1"/>
  <c r="AE12" i="6"/>
  <c r="AF12" i="6" s="1"/>
  <c r="AH12" i="6" s="1"/>
  <c r="AJ12" i="6" s="1"/>
  <c r="AL12" i="6" s="1"/>
  <c r="GS17" i="8"/>
  <c r="GU17" i="8" s="1"/>
  <c r="GW17" i="8" s="1"/>
  <c r="GY17" i="8" s="1"/>
  <c r="H14" i="8"/>
  <c r="J14" i="8" s="1"/>
  <c r="L14" i="8" s="1"/>
  <c r="N14" i="8" s="1"/>
  <c r="GR23" i="8"/>
  <c r="H43" i="6"/>
  <c r="J43" i="6" s="1"/>
  <c r="L43" i="6" s="1"/>
  <c r="N43" i="6" s="1"/>
  <c r="G29" i="6"/>
  <c r="G30" i="6"/>
  <c r="H30" i="6" s="1"/>
  <c r="J30" i="6" s="1"/>
  <c r="L30" i="6" s="1"/>
  <c r="N30" i="6" s="1"/>
  <c r="G34" i="6"/>
  <c r="H34" i="6" s="1"/>
  <c r="J34" i="6" s="1"/>
  <c r="L34" i="6" s="1"/>
  <c r="N34" i="6" s="1"/>
  <c r="G37" i="6"/>
  <c r="G38" i="6"/>
  <c r="G41" i="6"/>
  <c r="H41" i="6" s="1"/>
  <c r="J41" i="6" s="1"/>
  <c r="L41" i="6" s="1"/>
  <c r="N41" i="6" s="1"/>
  <c r="G42" i="6"/>
  <c r="G14" i="6"/>
  <c r="H14" i="6" s="1"/>
  <c r="J14" i="6" s="1"/>
  <c r="L14" i="6" s="1"/>
  <c r="N14" i="6" s="1"/>
  <c r="G15" i="6"/>
  <c r="H15" i="6" s="1"/>
  <c r="J15" i="6" s="1"/>
  <c r="L15" i="6" s="1"/>
  <c r="N15" i="6" s="1"/>
  <c r="G18" i="6"/>
  <c r="H18" i="6" s="1"/>
  <c r="J18" i="6" s="1"/>
  <c r="L18" i="6" s="1"/>
  <c r="N18" i="6" s="1"/>
  <c r="G19" i="6"/>
  <c r="H19" i="6" s="1"/>
  <c r="J19" i="6" s="1"/>
  <c r="L19" i="6" s="1"/>
  <c r="N19" i="6" s="1"/>
  <c r="G22" i="6"/>
  <c r="H22" i="6" s="1"/>
  <c r="J22" i="6" s="1"/>
  <c r="L22" i="6" s="1"/>
  <c r="N22" i="6" s="1"/>
  <c r="G23" i="6"/>
  <c r="H23" i="6" s="1"/>
  <c r="J23" i="6" s="1"/>
  <c r="L23" i="6" s="1"/>
  <c r="N23" i="6" s="1"/>
  <c r="AE10" i="7"/>
  <c r="AG10" i="7" s="1"/>
  <c r="AI10" i="7" s="1"/>
  <c r="AK10" i="7" s="1"/>
  <c r="AE13" i="7"/>
  <c r="AG13" i="7" s="1"/>
  <c r="AI13" i="7" s="1"/>
  <c r="AK13" i="7" s="1"/>
  <c r="AE14" i="7"/>
  <c r="AG14" i="7" s="1"/>
  <c r="AI14" i="7" s="1"/>
  <c r="AK14" i="7" s="1"/>
  <c r="AE17" i="7"/>
  <c r="AG17" i="7" s="1"/>
  <c r="AI17" i="7" s="1"/>
  <c r="AK17" i="7" s="1"/>
  <c r="AE18" i="7"/>
  <c r="AG18" i="7" s="1"/>
  <c r="AI18" i="7" s="1"/>
  <c r="AK18" i="7" s="1"/>
  <c r="AE21" i="7"/>
  <c r="AG21" i="7" s="1"/>
  <c r="AI21" i="7" s="1"/>
  <c r="AK21" i="7" s="1"/>
  <c r="AE25" i="7"/>
  <c r="AG25" i="7" s="1"/>
  <c r="AI25" i="7" s="1"/>
  <c r="AK25" i="7" s="1"/>
  <c r="AE26" i="7"/>
  <c r="AG26" i="7" s="1"/>
  <c r="AI26" i="7" s="1"/>
  <c r="AK26" i="7" s="1"/>
  <c r="AE30" i="7"/>
  <c r="AG30" i="7" s="1"/>
  <c r="AI30" i="7" s="1"/>
  <c r="AK30" i="7" s="1"/>
  <c r="AE33" i="7"/>
  <c r="AG33" i="7" s="1"/>
  <c r="AI33" i="7" s="1"/>
  <c r="AK33" i="7" s="1"/>
  <c r="AE34" i="7"/>
  <c r="AG34" i="7" s="1"/>
  <c r="AI34" i="7" s="1"/>
  <c r="AK34" i="7" s="1"/>
  <c r="AE37" i="7"/>
  <c r="AG37" i="7" s="1"/>
  <c r="AI37" i="7" s="1"/>
  <c r="AK37" i="7" s="1"/>
  <c r="AE38" i="7"/>
  <c r="AG38" i="7" s="1"/>
  <c r="AI38" i="7" s="1"/>
  <c r="AK38" i="7" s="1"/>
  <c r="AD10" i="7"/>
  <c r="G12" i="6" s="1"/>
  <c r="H12" i="6" s="1"/>
  <c r="J12" i="6" s="1"/>
  <c r="L12" i="6" s="1"/>
  <c r="N12" i="6" s="1"/>
  <c r="AD11" i="7"/>
  <c r="G13" i="6" s="1"/>
  <c r="H13" i="6" s="1"/>
  <c r="J13" i="6" s="1"/>
  <c r="L13" i="6" s="1"/>
  <c r="N13" i="6" s="1"/>
  <c r="AD12" i="7"/>
  <c r="AE12" i="7" s="1"/>
  <c r="AG12" i="7" s="1"/>
  <c r="AI12" i="7" s="1"/>
  <c r="AK12" i="7" s="1"/>
  <c r="AD13" i="7"/>
  <c r="AD14" i="7"/>
  <c r="G16" i="6" s="1"/>
  <c r="H16" i="6" s="1"/>
  <c r="J16" i="6" s="1"/>
  <c r="L16" i="6" s="1"/>
  <c r="N16" i="6" s="1"/>
  <c r="AD16" i="7"/>
  <c r="AE16" i="7" s="1"/>
  <c r="AG16" i="7" s="1"/>
  <c r="AI16" i="7" s="1"/>
  <c r="AK16" i="7" s="1"/>
  <c r="AD17" i="7"/>
  <c r="AD18" i="7"/>
  <c r="G20" i="6" s="1"/>
  <c r="H20" i="6" s="1"/>
  <c r="J20" i="6" s="1"/>
  <c r="L20" i="6" s="1"/>
  <c r="N20" i="6" s="1"/>
  <c r="AD19" i="7"/>
  <c r="G21" i="6" s="1"/>
  <c r="H21" i="6" s="1"/>
  <c r="J21" i="6" s="1"/>
  <c r="L21" i="6" s="1"/>
  <c r="N21" i="6" s="1"/>
  <c r="AD20" i="7"/>
  <c r="AE20" i="7" s="1"/>
  <c r="AG20" i="7" s="1"/>
  <c r="AI20" i="7" s="1"/>
  <c r="AK20" i="7" s="1"/>
  <c r="AD21" i="7"/>
  <c r="AD23" i="7"/>
  <c r="AE23" i="7" s="1"/>
  <c r="AG23" i="7" s="1"/>
  <c r="AI23" i="7" s="1"/>
  <c r="AK23" i="7" s="1"/>
  <c r="AD24" i="7"/>
  <c r="AE24" i="7" s="1"/>
  <c r="AG24" i="7" s="1"/>
  <c r="AI24" i="7" s="1"/>
  <c r="AK24" i="7" s="1"/>
  <c r="AD25" i="7"/>
  <c r="AD26" i="7"/>
  <c r="AD27" i="7"/>
  <c r="G31" i="6" s="1"/>
  <c r="H31" i="6" s="1"/>
  <c r="J31" i="6" s="1"/>
  <c r="L31" i="6" s="1"/>
  <c r="N31" i="6" s="1"/>
  <c r="AD28" i="7"/>
  <c r="G32" i="6" s="1"/>
  <c r="H32" i="6" s="1"/>
  <c r="J32" i="6" s="1"/>
  <c r="L32" i="6" s="1"/>
  <c r="N32" i="6" s="1"/>
  <c r="AD30" i="7"/>
  <c r="AD31" i="7"/>
  <c r="G35" i="6" s="1"/>
  <c r="H35" i="6" s="1"/>
  <c r="J35" i="6" s="1"/>
  <c r="L35" i="6" s="1"/>
  <c r="N35" i="6" s="1"/>
  <c r="AD32" i="7"/>
  <c r="G36" i="6" s="1"/>
  <c r="AD33" i="7"/>
  <c r="AD34" i="7"/>
  <c r="AD35" i="7"/>
  <c r="G39" i="6" s="1"/>
  <c r="AD36" i="7"/>
  <c r="G40" i="6" s="1"/>
  <c r="AD37" i="7"/>
  <c r="AD38" i="7"/>
  <c r="AD39" i="7"/>
  <c r="AE39" i="7" s="1"/>
  <c r="AD9" i="7"/>
  <c r="AE9" i="7" s="1"/>
  <c r="AG9" i="7" s="1"/>
  <c r="AI9" i="7" s="1"/>
  <c r="AK9" i="7" s="1"/>
  <c r="F29" i="7"/>
  <c r="AD29" i="7" s="1"/>
  <c r="F15" i="7"/>
  <c r="AD15" i="7" s="1"/>
  <c r="G10" i="7"/>
  <c r="G11" i="7"/>
  <c r="I11" i="7" s="1"/>
  <c r="K11" i="7" s="1"/>
  <c r="M11" i="7" s="1"/>
  <c r="G12" i="7"/>
  <c r="I12" i="7" s="1"/>
  <c r="K12" i="7" s="1"/>
  <c r="M12" i="7" s="1"/>
  <c r="G13" i="7"/>
  <c r="I13" i="7" s="1"/>
  <c r="K13" i="7" s="1"/>
  <c r="M13" i="7" s="1"/>
  <c r="G14" i="7"/>
  <c r="I14" i="7" s="1"/>
  <c r="K14" i="7" s="1"/>
  <c r="M14" i="7" s="1"/>
  <c r="G17" i="7"/>
  <c r="I17" i="7" s="1"/>
  <c r="K17" i="7" s="1"/>
  <c r="M17" i="7" s="1"/>
  <c r="G18" i="7"/>
  <c r="I18" i="7" s="1"/>
  <c r="K18" i="7" s="1"/>
  <c r="M18" i="7" s="1"/>
  <c r="G20" i="7"/>
  <c r="I20" i="7" s="1"/>
  <c r="K20" i="7" s="1"/>
  <c r="M20" i="7" s="1"/>
  <c r="G21" i="7"/>
  <c r="I21" i="7" s="1"/>
  <c r="K21" i="7" s="1"/>
  <c r="M21" i="7" s="1"/>
  <c r="G23" i="7"/>
  <c r="I23" i="7" s="1"/>
  <c r="K23" i="7" s="1"/>
  <c r="M23" i="7" s="1"/>
  <c r="G24" i="7"/>
  <c r="I24" i="7" s="1"/>
  <c r="K24" i="7" s="1"/>
  <c r="M24" i="7" s="1"/>
  <c r="G25" i="7"/>
  <c r="I25" i="7" s="1"/>
  <c r="K25" i="7" s="1"/>
  <c r="M25" i="7" s="1"/>
  <c r="G26" i="7"/>
  <c r="I26" i="7" s="1"/>
  <c r="K26" i="7" s="1"/>
  <c r="M26" i="7" s="1"/>
  <c r="G27" i="7"/>
  <c r="I27" i="7" s="1"/>
  <c r="K27" i="7" s="1"/>
  <c r="M27" i="7" s="1"/>
  <c r="G28" i="7"/>
  <c r="I28" i="7" s="1"/>
  <c r="K28" i="7" s="1"/>
  <c r="M28" i="7" s="1"/>
  <c r="G30" i="7"/>
  <c r="I30" i="7" s="1"/>
  <c r="K30" i="7" s="1"/>
  <c r="M30" i="7" s="1"/>
  <c r="G31" i="7"/>
  <c r="I31" i="7" s="1"/>
  <c r="K31" i="7" s="1"/>
  <c r="M31" i="7" s="1"/>
  <c r="G32" i="7"/>
  <c r="I32" i="7" s="1"/>
  <c r="K32" i="7" s="1"/>
  <c r="M32" i="7" s="1"/>
  <c r="G33" i="7"/>
  <c r="I33" i="7" s="1"/>
  <c r="K33" i="7" s="1"/>
  <c r="M33" i="7" s="1"/>
  <c r="G35" i="7"/>
  <c r="I35" i="7" s="1"/>
  <c r="K35" i="7" s="1"/>
  <c r="M35" i="7" s="1"/>
  <c r="G36" i="7"/>
  <c r="I36" i="7" s="1"/>
  <c r="K36" i="7" s="1"/>
  <c r="M36" i="7" s="1"/>
  <c r="G37" i="7"/>
  <c r="I37" i="7" s="1"/>
  <c r="K37" i="7" s="1"/>
  <c r="M37" i="7" s="1"/>
  <c r="G39" i="7"/>
  <c r="I39" i="7" s="1"/>
  <c r="G9" i="7"/>
  <c r="I9" i="7" s="1"/>
  <c r="K9" i="7" s="1"/>
  <c r="M9" i="7" s="1"/>
  <c r="V22" i="7"/>
  <c r="AD22" i="7" s="1"/>
  <c r="V15" i="7"/>
  <c r="T26" i="6"/>
  <c r="V26" i="6" s="1"/>
  <c r="X26" i="6" s="1"/>
  <c r="Z26" i="6" s="1"/>
  <c r="T33" i="6"/>
  <c r="V33" i="6" s="1"/>
  <c r="X33" i="6" s="1"/>
  <c r="Z33" i="6" s="1"/>
  <c r="T38" i="6"/>
  <c r="V38" i="6" s="1"/>
  <c r="X38" i="6" s="1"/>
  <c r="Z38" i="6" s="1"/>
  <c r="T39" i="6"/>
  <c r="V39" i="6" s="1"/>
  <c r="X39" i="6" s="1"/>
  <c r="Z39" i="6" s="1"/>
  <c r="T40" i="6"/>
  <c r="V40" i="6" s="1"/>
  <c r="X40" i="6" s="1"/>
  <c r="Z40" i="6" s="1"/>
  <c r="T42" i="6"/>
  <c r="V42" i="6" s="1"/>
  <c r="X42" i="6" s="1"/>
  <c r="Z42" i="6" s="1"/>
  <c r="T43" i="6"/>
  <c r="V43" i="6" s="1"/>
  <c r="X43" i="6" s="1"/>
  <c r="Z43" i="6" s="1"/>
  <c r="T44" i="6"/>
  <c r="V44" i="6" s="1"/>
  <c r="X44" i="6" s="1"/>
  <c r="Z44" i="6" s="1"/>
  <c r="S45" i="6"/>
  <c r="AQ45" i="6" s="1"/>
  <c r="G33" i="6" l="1"/>
  <c r="AE29" i="7"/>
  <c r="AG29" i="7" s="1"/>
  <c r="AI29" i="7" s="1"/>
  <c r="AK29" i="7" s="1"/>
  <c r="G24" i="6"/>
  <c r="H24" i="6" s="1"/>
  <c r="H26" i="6" s="1"/>
  <c r="J26" i="6" s="1"/>
  <c r="L26" i="6" s="1"/>
  <c r="AE22" i="7"/>
  <c r="AG22" i="7" s="1"/>
  <c r="AI22" i="7" s="1"/>
  <c r="AK22" i="7" s="1"/>
  <c r="G17" i="6"/>
  <c r="H17" i="6" s="1"/>
  <c r="J17" i="6" s="1"/>
  <c r="L17" i="6" s="1"/>
  <c r="N17" i="6" s="1"/>
  <c r="AE15" i="7"/>
  <c r="AG15" i="7" s="1"/>
  <c r="AI15" i="7" s="1"/>
  <c r="AK15" i="7" s="1"/>
  <c r="G15" i="7"/>
  <c r="I15" i="7" s="1"/>
  <c r="K15" i="7" s="1"/>
  <c r="M15" i="7" s="1"/>
  <c r="I10" i="7"/>
  <c r="K10" i="7" s="1"/>
  <c r="M10" i="7" s="1"/>
  <c r="AE35" i="7"/>
  <c r="AG35" i="7" s="1"/>
  <c r="AI35" i="7" s="1"/>
  <c r="AK35" i="7" s="1"/>
  <c r="AE31" i="7"/>
  <c r="AG31" i="7" s="1"/>
  <c r="AI31" i="7" s="1"/>
  <c r="AK31" i="7" s="1"/>
  <c r="AE27" i="7"/>
  <c r="AG27" i="7" s="1"/>
  <c r="AI27" i="7" s="1"/>
  <c r="AK27" i="7" s="1"/>
  <c r="AE19" i="7"/>
  <c r="AG19" i="7" s="1"/>
  <c r="AI19" i="7" s="1"/>
  <c r="AK19" i="7" s="1"/>
  <c r="AE11" i="7"/>
  <c r="AG11" i="7" s="1"/>
  <c r="AI11" i="7" s="1"/>
  <c r="AK11" i="7" s="1"/>
  <c r="G28" i="6"/>
  <c r="H28" i="6" s="1"/>
  <c r="J28" i="6" s="1"/>
  <c r="L28" i="6" s="1"/>
  <c r="N28" i="6" s="1"/>
  <c r="G11" i="6"/>
  <c r="H11" i="6" s="1"/>
  <c r="J11" i="6" s="1"/>
  <c r="L11" i="6" s="1"/>
  <c r="N11" i="6" s="1"/>
  <c r="G29" i="7"/>
  <c r="I29" i="7" s="1"/>
  <c r="K29" i="7" s="1"/>
  <c r="M29" i="7" s="1"/>
  <c r="AE36" i="7"/>
  <c r="AG36" i="7" s="1"/>
  <c r="AI36" i="7" s="1"/>
  <c r="AK36" i="7" s="1"/>
  <c r="AE32" i="7"/>
  <c r="AG32" i="7" s="1"/>
  <c r="AI32" i="7" s="1"/>
  <c r="AK32" i="7" s="1"/>
  <c r="AE28" i="7"/>
  <c r="AG28" i="7" s="1"/>
  <c r="AI28" i="7" s="1"/>
  <c r="AK28" i="7" s="1"/>
  <c r="GS30" i="8"/>
  <c r="GU30" i="8" s="1"/>
  <c r="GW30" i="8" s="1"/>
  <c r="GY30" i="8" s="1"/>
  <c r="AE33" i="6"/>
  <c r="GR40" i="8"/>
  <c r="GS40" i="8" s="1"/>
  <c r="AE24" i="6"/>
  <c r="H39" i="6"/>
  <c r="J39" i="6" s="1"/>
  <c r="L39" i="6" s="1"/>
  <c r="N39" i="6" s="1"/>
  <c r="AQ39" i="6"/>
  <c r="H42" i="6"/>
  <c r="J42" i="6" s="1"/>
  <c r="L42" i="6" s="1"/>
  <c r="N42" i="6" s="1"/>
  <c r="H38" i="6"/>
  <c r="J38" i="6" s="1"/>
  <c r="L38" i="6" s="1"/>
  <c r="N38" i="6" s="1"/>
  <c r="AQ38" i="6"/>
  <c r="H37" i="6"/>
  <c r="J37" i="6" s="1"/>
  <c r="L37" i="6" s="1"/>
  <c r="N37" i="6" s="1"/>
  <c r="AQ37" i="6"/>
  <c r="H33" i="6"/>
  <c r="J33" i="6" s="1"/>
  <c r="L33" i="6" s="1"/>
  <c r="N33" i="6" s="1"/>
  <c r="H29" i="6"/>
  <c r="J29" i="6" s="1"/>
  <c r="L29" i="6" s="1"/>
  <c r="N29" i="6" s="1"/>
  <c r="AQ29" i="6"/>
  <c r="H40" i="6"/>
  <c r="J40" i="6" s="1"/>
  <c r="L40" i="6" s="1"/>
  <c r="N40" i="6" s="1"/>
  <c r="AQ40" i="6"/>
  <c r="H36" i="6"/>
  <c r="J36" i="6" s="1"/>
  <c r="L36" i="6" s="1"/>
  <c r="N36" i="6" s="1"/>
  <c r="AQ36" i="6"/>
  <c r="T15" i="15"/>
  <c r="T22" i="15" s="1"/>
  <c r="AR10" i="15"/>
  <c r="AR12" i="15"/>
  <c r="AR13" i="15"/>
  <c r="AR14" i="15"/>
  <c r="AR16" i="15"/>
  <c r="AR17" i="15"/>
  <c r="AR18" i="15"/>
  <c r="AR19" i="15"/>
  <c r="AS19" i="15" s="1"/>
  <c r="AU19" i="15" s="1"/>
  <c r="AW19" i="15" s="1"/>
  <c r="AR20" i="15"/>
  <c r="AR21" i="15"/>
  <c r="AR23" i="15"/>
  <c r="AR24" i="15"/>
  <c r="AR25" i="15"/>
  <c r="AR26" i="15"/>
  <c r="AR27" i="15"/>
  <c r="AR28" i="15"/>
  <c r="AR29" i="15"/>
  <c r="AS29" i="15" s="1"/>
  <c r="AU29" i="15" s="1"/>
  <c r="AW29" i="15" s="1"/>
  <c r="AR30" i="15"/>
  <c r="AR31" i="15"/>
  <c r="AR32" i="15"/>
  <c r="AR33" i="15"/>
  <c r="AR34" i="15"/>
  <c r="AS34" i="15" s="1"/>
  <c r="AU34" i="15" s="1"/>
  <c r="AW34" i="15" s="1"/>
  <c r="AR35" i="15"/>
  <c r="AR36" i="15"/>
  <c r="AR37" i="15"/>
  <c r="AR38" i="15"/>
  <c r="AR39" i="15"/>
  <c r="AR9" i="15"/>
  <c r="AD39" i="15"/>
  <c r="AF39" i="15" s="1"/>
  <c r="AH39" i="15" s="1"/>
  <c r="U39" i="15"/>
  <c r="W39" i="15" s="1"/>
  <c r="Y39" i="15" s="1"/>
  <c r="L10" i="15"/>
  <c r="N10" i="15" s="1"/>
  <c r="P10" i="15" s="1"/>
  <c r="L12" i="15"/>
  <c r="N12" i="15" s="1"/>
  <c r="P12" i="15" s="1"/>
  <c r="L13" i="15"/>
  <c r="N13" i="15" s="1"/>
  <c r="P13" i="15" s="1"/>
  <c r="L14" i="15"/>
  <c r="N14" i="15" s="1"/>
  <c r="P14" i="15" s="1"/>
  <c r="L16" i="15"/>
  <c r="N16" i="15" s="1"/>
  <c r="P16" i="15" s="1"/>
  <c r="L17" i="15"/>
  <c r="N17" i="15" s="1"/>
  <c r="P17" i="15" s="1"/>
  <c r="L18" i="15"/>
  <c r="N18" i="15" s="1"/>
  <c r="P18" i="15" s="1"/>
  <c r="L20" i="15"/>
  <c r="N20" i="15" s="1"/>
  <c r="P20" i="15" s="1"/>
  <c r="L21" i="15"/>
  <c r="N21" i="15" s="1"/>
  <c r="P21" i="15" s="1"/>
  <c r="L23" i="15"/>
  <c r="N23" i="15" s="1"/>
  <c r="P23" i="15" s="1"/>
  <c r="L24" i="15"/>
  <c r="N24" i="15" s="1"/>
  <c r="P24" i="15" s="1"/>
  <c r="L25" i="15"/>
  <c r="N25" i="15" s="1"/>
  <c r="P25" i="15" s="1"/>
  <c r="L26" i="15"/>
  <c r="N26" i="15" s="1"/>
  <c r="P26" i="15" s="1"/>
  <c r="L27" i="15"/>
  <c r="N27" i="15" s="1"/>
  <c r="P27" i="15" s="1"/>
  <c r="L28" i="15"/>
  <c r="N28" i="15" s="1"/>
  <c r="P28" i="15" s="1"/>
  <c r="L30" i="15"/>
  <c r="N30" i="15" s="1"/>
  <c r="P30" i="15" s="1"/>
  <c r="L31" i="15"/>
  <c r="N31" i="15" s="1"/>
  <c r="P31" i="15" s="1"/>
  <c r="L32" i="15"/>
  <c r="N32" i="15" s="1"/>
  <c r="P32" i="15" s="1"/>
  <c r="L35" i="15"/>
  <c r="N35" i="15" s="1"/>
  <c r="P35" i="15" s="1"/>
  <c r="L36" i="15"/>
  <c r="N36" i="15" s="1"/>
  <c r="P36" i="15" s="1"/>
  <c r="L37" i="15"/>
  <c r="N37" i="15" s="1"/>
  <c r="P37" i="15" s="1"/>
  <c r="L38" i="15"/>
  <c r="N38" i="15" s="1"/>
  <c r="P38" i="15" s="1"/>
  <c r="L39" i="15"/>
  <c r="N39" i="15" s="1"/>
  <c r="P39" i="15" s="1"/>
  <c r="L9" i="15"/>
  <c r="N9" i="15" s="1"/>
  <c r="P9" i="15" s="1"/>
  <c r="AC11" i="15"/>
  <c r="AC15" i="15" s="1"/>
  <c r="AC22" i="15" s="1"/>
  <c r="T11" i="15"/>
  <c r="K11" i="15"/>
  <c r="L11" i="15" s="1"/>
  <c r="N11" i="15" s="1"/>
  <c r="P11" i="15" s="1"/>
  <c r="AR11" i="15" l="1"/>
  <c r="K15" i="15"/>
  <c r="J24" i="6"/>
  <c r="L24" i="6" s="1"/>
  <c r="N24" i="6" s="1"/>
  <c r="AF24" i="6"/>
  <c r="AE42" i="6"/>
  <c r="AF33" i="6"/>
  <c r="AH33" i="6" s="1"/>
  <c r="AJ33" i="6" s="1"/>
  <c r="AL33" i="6" s="1"/>
  <c r="AQ33" i="6"/>
  <c r="AE26" i="6"/>
  <c r="BL16" i="20"/>
  <c r="BN16" i="20" s="1"/>
  <c r="BP16" i="20" s="1"/>
  <c r="BR16" i="20" s="1"/>
  <c r="BK10" i="20"/>
  <c r="BK11" i="20"/>
  <c r="BK12" i="20"/>
  <c r="BK13" i="20"/>
  <c r="BK14" i="20"/>
  <c r="BK16" i="20"/>
  <c r="BK17" i="20"/>
  <c r="BK18" i="20"/>
  <c r="BK19" i="20"/>
  <c r="BL19" i="20" s="1"/>
  <c r="BN19" i="20" s="1"/>
  <c r="BP19" i="20" s="1"/>
  <c r="BR19" i="20" s="1"/>
  <c r="BK20" i="20"/>
  <c r="BK21" i="20"/>
  <c r="BK23" i="20"/>
  <c r="BK24" i="20"/>
  <c r="BK25" i="20"/>
  <c r="BK26" i="20"/>
  <c r="BK27" i="20"/>
  <c r="BK28" i="20"/>
  <c r="BK29" i="20"/>
  <c r="BL29" i="20" s="1"/>
  <c r="BN29" i="20" s="1"/>
  <c r="BP29" i="20" s="1"/>
  <c r="BR29" i="20" s="1"/>
  <c r="BK30" i="20"/>
  <c r="BK31" i="20"/>
  <c r="BK32" i="20"/>
  <c r="BK33" i="20"/>
  <c r="BK34" i="20"/>
  <c r="BL34" i="20" s="1"/>
  <c r="BN34" i="20" s="1"/>
  <c r="BP34" i="20" s="1"/>
  <c r="BR34" i="20" s="1"/>
  <c r="BK35" i="20"/>
  <c r="BL35" i="20" s="1"/>
  <c r="BN35" i="20" s="1"/>
  <c r="BP35" i="20" s="1"/>
  <c r="BR35" i="20" s="1"/>
  <c r="BK36" i="20"/>
  <c r="BK37" i="20"/>
  <c r="BK38" i="20"/>
  <c r="BL38" i="20" s="1"/>
  <c r="BN38" i="20" s="1"/>
  <c r="BP38" i="20" s="1"/>
  <c r="BR38" i="20" s="1"/>
  <c r="BK39" i="20"/>
  <c r="BK9" i="20"/>
  <c r="AI11" i="20"/>
  <c r="AK11" i="20" s="1"/>
  <c r="AI15" i="20"/>
  <c r="AK15" i="20" s="1"/>
  <c r="AI22" i="20"/>
  <c r="AK22" i="20" s="1"/>
  <c r="AI27" i="20"/>
  <c r="AK27" i="20" s="1"/>
  <c r="AI29" i="20"/>
  <c r="AK29" i="20" s="1"/>
  <c r="AI34" i="20"/>
  <c r="AK34" i="20" s="1"/>
  <c r="AI35" i="20"/>
  <c r="AK35" i="20" s="1"/>
  <c r="AI38" i="20"/>
  <c r="AK38" i="20" s="1"/>
  <c r="Q34" i="20"/>
  <c r="S34" i="20" s="1"/>
  <c r="U34" i="20" s="1"/>
  <c r="G30" i="20"/>
  <c r="I30" i="20" s="1"/>
  <c r="K30" i="20" s="1"/>
  <c r="M30" i="20" s="1"/>
  <c r="G31" i="20"/>
  <c r="I31" i="20" s="1"/>
  <c r="K31" i="20" s="1"/>
  <c r="M31" i="20" s="1"/>
  <c r="G32" i="20"/>
  <c r="I32" i="20" s="1"/>
  <c r="K32" i="20" s="1"/>
  <c r="M32" i="20" s="1"/>
  <c r="G28" i="20"/>
  <c r="I28" i="20" s="1"/>
  <c r="K28" i="20" s="1"/>
  <c r="M28" i="20" s="1"/>
  <c r="G35" i="20"/>
  <c r="I35" i="20" s="1"/>
  <c r="K35" i="20" s="1"/>
  <c r="M35" i="20" s="1"/>
  <c r="G36" i="20"/>
  <c r="I36" i="20" s="1"/>
  <c r="K36" i="20" s="1"/>
  <c r="M36" i="20" s="1"/>
  <c r="G37" i="20"/>
  <c r="I37" i="20" s="1"/>
  <c r="K37" i="20" s="1"/>
  <c r="M37" i="20" s="1"/>
  <c r="G38" i="20"/>
  <c r="I38" i="20" s="1"/>
  <c r="K38" i="20" s="1"/>
  <c r="M38" i="20" s="1"/>
  <c r="G27" i="20"/>
  <c r="I27" i="20" s="1"/>
  <c r="K27" i="20" s="1"/>
  <c r="M27" i="20" s="1"/>
  <c r="G15" i="20"/>
  <c r="F15" i="20"/>
  <c r="AV15" i="20"/>
  <c r="AX15" i="20" s="1"/>
  <c r="AU15" i="20"/>
  <c r="AO15" i="20"/>
  <c r="AP10" i="20"/>
  <c r="AR10" i="20" s="1"/>
  <c r="AP11" i="20"/>
  <c r="AR11" i="20" s="1"/>
  <c r="AP12" i="20"/>
  <c r="AR12" i="20" s="1"/>
  <c r="AP13" i="20"/>
  <c r="AR13" i="20" s="1"/>
  <c r="AP14" i="20"/>
  <c r="AR14" i="20" s="1"/>
  <c r="AP16" i="20"/>
  <c r="AR16" i="20" s="1"/>
  <c r="AP17" i="20"/>
  <c r="AR17" i="20" s="1"/>
  <c r="AP18" i="20"/>
  <c r="AR18" i="20" s="1"/>
  <c r="AP20" i="20"/>
  <c r="AR20" i="20" s="1"/>
  <c r="AP21" i="20"/>
  <c r="AR21" i="20" s="1"/>
  <c r="AP22" i="20"/>
  <c r="AR22" i="20" s="1"/>
  <c r="AP23" i="20"/>
  <c r="AR23" i="20" s="1"/>
  <c r="AP24" i="20"/>
  <c r="AR24" i="20" s="1"/>
  <c r="AP25" i="20"/>
  <c r="AR25" i="20" s="1"/>
  <c r="AP26" i="20"/>
  <c r="AR26" i="20" s="1"/>
  <c r="AP27" i="20"/>
  <c r="AR27" i="20" s="1"/>
  <c r="AP28" i="20"/>
  <c r="AR28" i="20" s="1"/>
  <c r="AP30" i="20"/>
  <c r="AR30" i="20" s="1"/>
  <c r="AP31" i="20"/>
  <c r="AR31" i="20" s="1"/>
  <c r="AP32" i="20"/>
  <c r="AR32" i="20" s="1"/>
  <c r="AP35" i="20"/>
  <c r="AR35" i="20" s="1"/>
  <c r="AP36" i="20"/>
  <c r="AR36" i="20" s="1"/>
  <c r="AP37" i="20"/>
  <c r="AR37" i="20" s="1"/>
  <c r="AP38" i="20"/>
  <c r="AR38" i="20" s="1"/>
  <c r="AP39" i="20"/>
  <c r="AR39" i="20" s="1"/>
  <c r="AP9" i="20"/>
  <c r="AR9" i="20" s="1"/>
  <c r="K22" i="15" l="1"/>
  <c r="L15" i="15"/>
  <c r="N15" i="15" s="1"/>
  <c r="P15" i="15" s="1"/>
  <c r="AR15" i="15"/>
  <c r="G22" i="20"/>
  <c r="I22" i="20" s="1"/>
  <c r="K22" i="20" s="1"/>
  <c r="I15" i="20"/>
  <c r="K15" i="20" s="1"/>
  <c r="AQ26" i="6"/>
  <c r="AR26" i="6" s="1"/>
  <c r="AF26" i="6"/>
  <c r="AF42" i="6"/>
  <c r="AE44" i="6"/>
  <c r="AQ42" i="6"/>
  <c r="L22" i="15" l="1"/>
  <c r="N22" i="15" s="1"/>
  <c r="P22" i="15" s="1"/>
  <c r="AR22" i="15"/>
  <c r="AQ44" i="6"/>
  <c r="AF44" i="6"/>
  <c r="AH44" i="6" s="1"/>
  <c r="AJ44" i="6" s="1"/>
  <c r="AL44" i="6" s="1"/>
  <c r="Z15" i="20"/>
  <c r="Y15" i="20"/>
  <c r="BK15" i="20" s="1"/>
  <c r="BL15" i="20" s="1"/>
  <c r="BN15" i="20" s="1"/>
  <c r="BP15" i="20" s="1"/>
  <c r="Y22" i="20" l="1"/>
  <c r="BK22" i="20" s="1"/>
  <c r="BL22" i="20" s="1"/>
  <c r="BN22" i="20" s="1"/>
  <c r="BP22" i="20" s="1"/>
  <c r="AB15" i="20"/>
  <c r="AD15" i="20" s="1"/>
  <c r="Z22" i="20"/>
  <c r="AB22" i="20" s="1"/>
  <c r="AD22" i="20" s="1"/>
  <c r="AH38" i="42"/>
  <c r="AJ38" i="42" s="1"/>
  <c r="AL38" i="42" s="1"/>
  <c r="AN38" i="42" s="1"/>
  <c r="AG10" i="42"/>
  <c r="AG11" i="42"/>
  <c r="AG12" i="42"/>
  <c r="AG13" i="42"/>
  <c r="AG14" i="42"/>
  <c r="AG16" i="42"/>
  <c r="AG17" i="42"/>
  <c r="AG18" i="42"/>
  <c r="AG19" i="42"/>
  <c r="AG20" i="42"/>
  <c r="AG21" i="42"/>
  <c r="AG23" i="42"/>
  <c r="AG24" i="42"/>
  <c r="AG25" i="42"/>
  <c r="AG26" i="42"/>
  <c r="AG27" i="42"/>
  <c r="AG28" i="42"/>
  <c r="AG29" i="42"/>
  <c r="AG30" i="42"/>
  <c r="AG31" i="42"/>
  <c r="AG32" i="42"/>
  <c r="AG33" i="42"/>
  <c r="AG34" i="42"/>
  <c r="AH34" i="42" s="1"/>
  <c r="AJ34" i="42" s="1"/>
  <c r="AL34" i="42" s="1"/>
  <c r="AN34" i="42" s="1"/>
  <c r="AG35" i="42"/>
  <c r="AH35" i="42" s="1"/>
  <c r="AJ35" i="42" s="1"/>
  <c r="AL35" i="42" s="1"/>
  <c r="AN35" i="42" s="1"/>
  <c r="AG36" i="42"/>
  <c r="AG37" i="42"/>
  <c r="AG38" i="42"/>
  <c r="AG9" i="42"/>
  <c r="AH9" i="42" s="1"/>
  <c r="AJ9" i="42" s="1"/>
  <c r="AL9" i="42" s="1"/>
  <c r="AN9" i="42" s="1"/>
  <c r="T22" i="42"/>
  <c r="V22" i="42" s="1"/>
  <c r="S22" i="42"/>
  <c r="AG22" i="42" s="1"/>
  <c r="AH22" i="42" s="1"/>
  <c r="AJ22" i="42" s="1"/>
  <c r="AL22" i="42" s="1"/>
  <c r="AN22" i="42" s="1"/>
  <c r="T15" i="42"/>
  <c r="V15" i="42" s="1"/>
  <c r="S15" i="42"/>
  <c r="H15" i="42"/>
  <c r="J15" i="42" s="1"/>
  <c r="L15" i="42" s="1"/>
  <c r="N15" i="42" s="1"/>
  <c r="G15" i="42"/>
  <c r="AG15" i="42" s="1"/>
  <c r="AH15" i="42" s="1"/>
  <c r="AJ15" i="42" s="1"/>
  <c r="AL15" i="42" s="1"/>
  <c r="AN15" i="42" s="1"/>
  <c r="AN23" i="41" l="1"/>
  <c r="AN24" i="41"/>
  <c r="AN25" i="41"/>
  <c r="AN26" i="41"/>
  <c r="AN27" i="41"/>
  <c r="AN28" i="41"/>
  <c r="AN29" i="41"/>
  <c r="AN30" i="41"/>
  <c r="AN31" i="41"/>
  <c r="AN32" i="41"/>
  <c r="AN33" i="41"/>
  <c r="AN34" i="41"/>
  <c r="AN35" i="41"/>
  <c r="AN36" i="41"/>
  <c r="AN37" i="41"/>
  <c r="AN38" i="41"/>
  <c r="AN39" i="41"/>
  <c r="G15" i="41" l="1"/>
  <c r="I15" i="41" s="1"/>
  <c r="K15" i="41" s="1"/>
  <c r="AO22" i="41"/>
  <c r="AQ22" i="41" s="1"/>
  <c r="AS22" i="41" s="1"/>
  <c r="AU22" i="41" s="1"/>
  <c r="AO15" i="41"/>
  <c r="AQ15" i="41" s="1"/>
  <c r="AS15" i="41" s="1"/>
  <c r="AU15" i="41" s="1"/>
  <c r="F9" i="41"/>
  <c r="F10" i="41"/>
  <c r="F15" i="41" s="1"/>
  <c r="F22" i="41" s="1"/>
  <c r="AD22" i="41"/>
  <c r="AF22" i="41" s="1"/>
  <c r="AH22" i="41" s="1"/>
  <c r="AJ22" i="41" s="1"/>
  <c r="AD15" i="41"/>
  <c r="AF15" i="41" s="1"/>
  <c r="AH15" i="41" s="1"/>
  <c r="AJ15" i="41" s="1"/>
  <c r="AC10" i="41"/>
  <c r="AC15" i="41" s="1"/>
  <c r="AC22" i="41" s="1"/>
  <c r="AC9" i="41"/>
  <c r="T22" i="41"/>
  <c r="U15" i="41"/>
  <c r="W15" i="41" s="1"/>
  <c r="Y15" i="41" s="1"/>
  <c r="T15" i="41"/>
  <c r="U22" i="41" l="1"/>
  <c r="W22" i="41" s="1"/>
  <c r="Y22" i="41" s="1"/>
  <c r="G22" i="41"/>
  <c r="I22" i="41" s="1"/>
  <c r="K22" i="41" s="1"/>
  <c r="AN10" i="41"/>
  <c r="AN11" i="41"/>
  <c r="AN12" i="41"/>
  <c r="AN13" i="41"/>
  <c r="AN14" i="41"/>
  <c r="AN15" i="41"/>
  <c r="AN16" i="41"/>
  <c r="AN17" i="41"/>
  <c r="AN18" i="41"/>
  <c r="AN19" i="41"/>
  <c r="AN20" i="41"/>
  <c r="AN21" i="41"/>
  <c r="AN22" i="41"/>
  <c r="AN9" i="41"/>
  <c r="V10" i="19" l="1"/>
  <c r="AP12" i="19"/>
  <c r="S14" i="6" s="1"/>
  <c r="AP13" i="19"/>
  <c r="S15" i="6" s="1"/>
  <c r="AQ15" i="6" s="1"/>
  <c r="AP14" i="19"/>
  <c r="S16" i="6" s="1"/>
  <c r="AQ16" i="6" s="1"/>
  <c r="AR16" i="6" s="1"/>
  <c r="AT16" i="6" s="1"/>
  <c r="AV16" i="6" s="1"/>
  <c r="AX16" i="6" s="1"/>
  <c r="AP16" i="19"/>
  <c r="S18" i="6" s="1"/>
  <c r="AP17" i="19"/>
  <c r="S19" i="6" s="1"/>
  <c r="AP18" i="19"/>
  <c r="S20" i="6" s="1"/>
  <c r="AQ20" i="6" s="1"/>
  <c r="AP19" i="19"/>
  <c r="S21" i="6" s="1"/>
  <c r="AP20" i="19"/>
  <c r="S22" i="6" s="1"/>
  <c r="AQ22" i="6" s="1"/>
  <c r="AP21" i="19"/>
  <c r="S23" i="6" s="1"/>
  <c r="AQ23" i="6" s="1"/>
  <c r="AF15" i="19"/>
  <c r="AH15" i="19" s="1"/>
  <c r="AJ15" i="19" s="1"/>
  <c r="AL15" i="19" s="1"/>
  <c r="G15" i="19"/>
  <c r="I15" i="19" s="1"/>
  <c r="K15" i="19" s="1"/>
  <c r="F10" i="19"/>
  <c r="AP10" i="19" s="1"/>
  <c r="S12" i="6" s="1"/>
  <c r="F9" i="19"/>
  <c r="AQ12" i="6" l="1"/>
  <c r="AQ19" i="6"/>
  <c r="AQ14" i="6"/>
  <c r="T18" i="6"/>
  <c r="V18" i="6" s="1"/>
  <c r="X18" i="6" s="1"/>
  <c r="Z18" i="6" s="1"/>
  <c r="AQ18" i="6"/>
  <c r="T21" i="6"/>
  <c r="V21" i="6" s="1"/>
  <c r="X21" i="6" s="1"/>
  <c r="Z21" i="6" s="1"/>
  <c r="AQ21" i="6"/>
  <c r="AF22" i="19"/>
  <c r="AH22" i="19" s="1"/>
  <c r="AJ22" i="19" s="1"/>
  <c r="AL22" i="19" s="1"/>
  <c r="W15" i="19"/>
  <c r="Y15" i="19" s="1"/>
  <c r="AA15" i="19" s="1"/>
  <c r="P15" i="19"/>
  <c r="R15" i="19" s="1"/>
  <c r="W22" i="19" l="1"/>
  <c r="Y22" i="19" s="1"/>
  <c r="AA22" i="19" s="1"/>
  <c r="F15" i="19"/>
  <c r="AP23" i="19"/>
  <c r="S25" i="6" s="1"/>
  <c r="AP24" i="19"/>
  <c r="AP25" i="19"/>
  <c r="S27" i="6" s="1"/>
  <c r="AP26" i="19"/>
  <c r="S28" i="6" s="1"/>
  <c r="AP27" i="19"/>
  <c r="AP28" i="19"/>
  <c r="S30" i="6" s="1"/>
  <c r="AQ30" i="6" s="1"/>
  <c r="AP29" i="19"/>
  <c r="S31" i="6" s="1"/>
  <c r="AQ31" i="6" s="1"/>
  <c r="AP30" i="19"/>
  <c r="S32" i="6" s="1"/>
  <c r="AQ32" i="6" s="1"/>
  <c r="AP31" i="19"/>
  <c r="AP32" i="19"/>
  <c r="S34" i="6" s="1"/>
  <c r="AQ34" i="6" s="1"/>
  <c r="AP33" i="19"/>
  <c r="S35" i="6" s="1"/>
  <c r="AQ35" i="6" s="1"/>
  <c r="AP34" i="19"/>
  <c r="AP35" i="19"/>
  <c r="AP36" i="19"/>
  <c r="AQ36" i="19" s="1"/>
  <c r="AS36" i="19" s="1"/>
  <c r="AU36" i="19" s="1"/>
  <c r="AW36" i="19" s="1"/>
  <c r="AP37" i="19"/>
  <c r="AP38" i="19"/>
  <c r="AP39" i="19"/>
  <c r="S41" i="6" s="1"/>
  <c r="AQ41" i="6" s="1"/>
  <c r="AE11" i="19"/>
  <c r="AE15" i="19" s="1"/>
  <c r="V11" i="19"/>
  <c r="AP11" i="19" s="1"/>
  <c r="S13" i="6" s="1"/>
  <c r="V9" i="19"/>
  <c r="AP9" i="19" s="1"/>
  <c r="S11" i="6" s="1"/>
  <c r="AQ11" i="6" l="1"/>
  <c r="V15" i="19"/>
  <c r="V22" i="19" s="1"/>
  <c r="AP22" i="19" s="1"/>
  <c r="S24" i="6" s="1"/>
  <c r="AQ24" i="6" s="1"/>
  <c r="AQ25" i="6"/>
  <c r="AR25" i="6" s="1"/>
  <c r="AT25" i="6" s="1"/>
  <c r="AV25" i="6" s="1"/>
  <c r="AX25" i="6" s="1"/>
  <c r="T13" i="6"/>
  <c r="V13" i="6" s="1"/>
  <c r="X13" i="6" s="1"/>
  <c r="Z13" i="6" s="1"/>
  <c r="AQ13" i="6"/>
  <c r="T28" i="6"/>
  <c r="V28" i="6" s="1"/>
  <c r="X28" i="6" s="1"/>
  <c r="Z28" i="6" s="1"/>
  <c r="AQ28" i="6"/>
  <c r="AQ27" i="6"/>
  <c r="AO12" i="6"/>
  <c r="AO13" i="6"/>
  <c r="AO14" i="6"/>
  <c r="AO15" i="6"/>
  <c r="AO16" i="6"/>
  <c r="AO18" i="6"/>
  <c r="AO19" i="6"/>
  <c r="AO20" i="6"/>
  <c r="AO21" i="6"/>
  <c r="AO22" i="6"/>
  <c r="AO23" i="6"/>
  <c r="AO25" i="6"/>
  <c r="AO26" i="6"/>
  <c r="AC17" i="6"/>
  <c r="AC24" i="6" s="1"/>
  <c r="AO24" i="6" s="1"/>
  <c r="AO11" i="6"/>
  <c r="T24" i="6" l="1"/>
  <c r="V24" i="6" s="1"/>
  <c r="X24" i="6" s="1"/>
  <c r="AR24" i="6"/>
  <c r="AP15" i="19"/>
  <c r="S17" i="6" s="1"/>
  <c r="AO17" i="6"/>
  <c r="GQ23" i="8"/>
  <c r="GS23" i="8" s="1"/>
  <c r="T17" i="6" l="1"/>
  <c r="V17" i="6" s="1"/>
  <c r="X17" i="6" s="1"/>
  <c r="AQ17" i="6"/>
  <c r="AR17" i="6" s="1"/>
  <c r="AD9" i="42"/>
  <c r="GQ15" i="8"/>
  <c r="GS15" i="8" s="1"/>
  <c r="BA15" i="8"/>
  <c r="BC15" i="8" s="1"/>
  <c r="BE15" i="8" s="1"/>
  <c r="BG15" i="8" s="1"/>
  <c r="AX15" i="8"/>
  <c r="AP45" i="6" l="1"/>
  <c r="AR45" i="6" s="1"/>
  <c r="AT45" i="6" s="1"/>
  <c r="AV45" i="6" s="1"/>
  <c r="AX45" i="6" s="1"/>
  <c r="AD17" i="6" l="1"/>
  <c r="AF17" i="6" s="1"/>
  <c r="AD16" i="6"/>
  <c r="AF16" i="6" s="1"/>
  <c r="AH16" i="6" s="1"/>
  <c r="AJ16" i="6" s="1"/>
  <c r="AL16" i="6" s="1"/>
  <c r="AD15" i="6"/>
  <c r="AF15" i="6" s="1"/>
  <c r="AH15" i="6" s="1"/>
  <c r="AJ15" i="6" s="1"/>
  <c r="AL15" i="6" s="1"/>
  <c r="R12" i="6"/>
  <c r="T12" i="6" s="1"/>
  <c r="V12" i="6" s="1"/>
  <c r="X12" i="6" s="1"/>
  <c r="Z12" i="6" s="1"/>
  <c r="R11" i="6"/>
  <c r="T11" i="6" s="1"/>
  <c r="V11" i="6" s="1"/>
  <c r="X11" i="6" s="1"/>
  <c r="Z11" i="6" s="1"/>
  <c r="GQ13" i="8"/>
  <c r="GS13" i="8" s="1"/>
  <c r="GU13" i="8" s="1"/>
  <c r="GW13" i="8" s="1"/>
  <c r="GY13" i="8" s="1"/>
  <c r="GQ14" i="8"/>
  <c r="GS14" i="8" s="1"/>
  <c r="GU14" i="8" s="1"/>
  <c r="GW14" i="8" s="1"/>
  <c r="GY14" i="8" s="1"/>
  <c r="D14" i="8"/>
  <c r="F13" i="8"/>
  <c r="AP11" i="6" l="1"/>
  <c r="AR11" i="6" s="1"/>
  <c r="AT11" i="6" s="1"/>
  <c r="AV11" i="6" s="1"/>
  <c r="AX11" i="6" s="1"/>
  <c r="F15" i="8"/>
  <c r="H15" i="8" s="1"/>
  <c r="J15" i="8" s="1"/>
  <c r="L15" i="8" s="1"/>
  <c r="N15" i="8" s="1"/>
  <c r="H13" i="8"/>
  <c r="J13" i="8" s="1"/>
  <c r="L13" i="8" s="1"/>
  <c r="N13" i="8" s="1"/>
  <c r="F9" i="42"/>
  <c r="F35" i="42" l="1"/>
  <c r="F10" i="42"/>
  <c r="GO14" i="8" l="1"/>
  <c r="AB16" i="6" s="1"/>
  <c r="D13" i="8"/>
  <c r="D15" i="8" s="1"/>
  <c r="GO10" i="8"/>
  <c r="AB12" i="6" s="1"/>
  <c r="AB14" i="6"/>
  <c r="AB18" i="6"/>
  <c r="GO17" i="8"/>
  <c r="AB19" i="6" s="1"/>
  <c r="GO18" i="8"/>
  <c r="AB20" i="6" s="1"/>
  <c r="GO20" i="8"/>
  <c r="AB22" i="6" s="1"/>
  <c r="GO22" i="8"/>
  <c r="GO24" i="8"/>
  <c r="GO25" i="8"/>
  <c r="AB28" i="6" s="1"/>
  <c r="GO26" i="8"/>
  <c r="AB29" i="6" s="1"/>
  <c r="GO27" i="8"/>
  <c r="AB30" i="6" s="1"/>
  <c r="AB31" i="6"/>
  <c r="GO29" i="8"/>
  <c r="AB32" i="6" s="1"/>
  <c r="GO31" i="8"/>
  <c r="AB34" i="6" s="1"/>
  <c r="GO32" i="8"/>
  <c r="AB35" i="6" s="1"/>
  <c r="GO33" i="8"/>
  <c r="AB36" i="6" s="1"/>
  <c r="GO36" i="8"/>
  <c r="AB39" i="6" s="1"/>
  <c r="GO37" i="8"/>
  <c r="AB40" i="6" s="1"/>
  <c r="GO38" i="8"/>
  <c r="GO39" i="8"/>
  <c r="GO9" i="8"/>
  <c r="AB11" i="6" s="1"/>
  <c r="F34" i="8"/>
  <c r="H34" i="8" s="1"/>
  <c r="J34" i="8" s="1"/>
  <c r="L34" i="8" s="1"/>
  <c r="N34" i="8" s="1"/>
  <c r="P11" i="8"/>
  <c r="GO11" i="8" s="1"/>
  <c r="AB13" i="6" s="1"/>
  <c r="GO13" i="8" l="1"/>
  <c r="AB15" i="6" s="1"/>
  <c r="AN15" i="6" s="1"/>
  <c r="AP12" i="6"/>
  <c r="AR12" i="6" s="1"/>
  <c r="AT12" i="6" s="1"/>
  <c r="AV12" i="6" s="1"/>
  <c r="AX12" i="6" s="1"/>
  <c r="AP13" i="6"/>
  <c r="AR13" i="6" s="1"/>
  <c r="AT13" i="6" s="1"/>
  <c r="AV13" i="6" s="1"/>
  <c r="AX13" i="6" s="1"/>
  <c r="AP18" i="6"/>
  <c r="AR18" i="6" s="1"/>
  <c r="AT18" i="6" s="1"/>
  <c r="AV18" i="6" s="1"/>
  <c r="AX18" i="6" s="1"/>
  <c r="AP28" i="6"/>
  <c r="AR28" i="6" s="1"/>
  <c r="AT28" i="6" s="1"/>
  <c r="AV28" i="6" s="1"/>
  <c r="AX28" i="6" s="1"/>
  <c r="AP33" i="6"/>
  <c r="AR33" i="6" s="1"/>
  <c r="AT33" i="6" s="1"/>
  <c r="AV33" i="6" s="1"/>
  <c r="AX33" i="6" s="1"/>
  <c r="AP38" i="6"/>
  <c r="AR38" i="6" s="1"/>
  <c r="AP39" i="6"/>
  <c r="AR39" i="6" s="1"/>
  <c r="AT39" i="6" s="1"/>
  <c r="AV39" i="6" s="1"/>
  <c r="AX39" i="6" s="1"/>
  <c r="AP40" i="6"/>
  <c r="AR40" i="6" s="1"/>
  <c r="AT40" i="6" s="1"/>
  <c r="AV40" i="6" s="1"/>
  <c r="AX40" i="6" s="1"/>
  <c r="AP42" i="6"/>
  <c r="AR42" i="6" s="1"/>
  <c r="AP43" i="6"/>
  <c r="AR43" i="6" s="1"/>
  <c r="AT43" i="6" s="1"/>
  <c r="AV43" i="6" s="1"/>
  <c r="AX43" i="6" s="1"/>
  <c r="AN12" i="6"/>
  <c r="AN13" i="6"/>
  <c r="AN14" i="6"/>
  <c r="AN16" i="6"/>
  <c r="AN18" i="6"/>
  <c r="AN19" i="6"/>
  <c r="AN20" i="6"/>
  <c r="AN22" i="6"/>
  <c r="AN23" i="6"/>
  <c r="AN25" i="6"/>
  <c r="AN27" i="6"/>
  <c r="AN28" i="6"/>
  <c r="AN29" i="6"/>
  <c r="AN30" i="6"/>
  <c r="AN31" i="6"/>
  <c r="AN32" i="6"/>
  <c r="AN34" i="6"/>
  <c r="AN35" i="6"/>
  <c r="AN36" i="6"/>
  <c r="AN39" i="6"/>
  <c r="AN40" i="6"/>
  <c r="AN41" i="6"/>
  <c r="AN43" i="6"/>
  <c r="AN45" i="6"/>
  <c r="AN11" i="6"/>
  <c r="AB10" i="7"/>
  <c r="AB11" i="7"/>
  <c r="AB12" i="7"/>
  <c r="AB13" i="7"/>
  <c r="AB14" i="7"/>
  <c r="AB16" i="7"/>
  <c r="AB17" i="7"/>
  <c r="AB18" i="7"/>
  <c r="AB20" i="7"/>
  <c r="AB21" i="7"/>
  <c r="AB23" i="7"/>
  <c r="AB24" i="7"/>
  <c r="AB25" i="7"/>
  <c r="AB26" i="7"/>
  <c r="AB27" i="7"/>
  <c r="AB30" i="7"/>
  <c r="AB31" i="7"/>
  <c r="AB32" i="7"/>
  <c r="AB35" i="7"/>
  <c r="AB36" i="7"/>
  <c r="AB37" i="7"/>
  <c r="AB39" i="7"/>
  <c r="AB9" i="7"/>
  <c r="X9" i="7"/>
  <c r="X10" i="7"/>
  <c r="X11" i="7"/>
  <c r="X13" i="7"/>
  <c r="X14" i="7"/>
  <c r="Y15" i="7"/>
  <c r="Z15" i="7"/>
  <c r="X16" i="7"/>
  <c r="X17" i="7"/>
  <c r="X18" i="7"/>
  <c r="Y19" i="7"/>
  <c r="Z19" i="7"/>
  <c r="X29" i="7"/>
  <c r="Y29" i="7"/>
  <c r="Z29" i="7"/>
  <c r="X33" i="7"/>
  <c r="Y33" i="7"/>
  <c r="Z33" i="7"/>
  <c r="Y34" i="7"/>
  <c r="Z34" i="7"/>
  <c r="U10" i="7"/>
  <c r="W10" i="7" s="1"/>
  <c r="U11" i="7"/>
  <c r="W11" i="7" s="1"/>
  <c r="U12" i="7"/>
  <c r="W12" i="7" s="1"/>
  <c r="U13" i="7"/>
  <c r="W13" i="7" s="1"/>
  <c r="U14" i="7"/>
  <c r="W14" i="7" s="1"/>
  <c r="U16" i="7"/>
  <c r="W16" i="7" s="1"/>
  <c r="U17" i="7"/>
  <c r="W17" i="7" s="1"/>
  <c r="U18" i="7"/>
  <c r="W18" i="7" s="1"/>
  <c r="U20" i="7"/>
  <c r="W20" i="7" s="1"/>
  <c r="U21" i="7"/>
  <c r="W21" i="7" s="1"/>
  <c r="U23" i="7"/>
  <c r="W23" i="7" s="1"/>
  <c r="U24" i="7"/>
  <c r="W24" i="7" s="1"/>
  <c r="U25" i="7"/>
  <c r="W25" i="7" s="1"/>
  <c r="U26" i="7"/>
  <c r="W26" i="7" s="1"/>
  <c r="U27" i="7"/>
  <c r="W27" i="7" s="1"/>
  <c r="U28" i="7"/>
  <c r="W28" i="7" s="1"/>
  <c r="U30" i="7"/>
  <c r="W30" i="7" s="1"/>
  <c r="U31" i="7"/>
  <c r="W31" i="7" s="1"/>
  <c r="U32" i="7"/>
  <c r="W32" i="7" s="1"/>
  <c r="U35" i="7"/>
  <c r="W35" i="7" s="1"/>
  <c r="U36" i="7"/>
  <c r="W36" i="7" s="1"/>
  <c r="U37" i="7"/>
  <c r="W37" i="7" s="1"/>
  <c r="U39" i="7"/>
  <c r="W39" i="7" s="1"/>
  <c r="U9" i="7"/>
  <c r="W9" i="7" s="1"/>
  <c r="X38" i="7" l="1"/>
  <c r="Y22" i="7"/>
  <c r="Z38" i="7"/>
  <c r="Z22" i="7"/>
  <c r="Y38" i="7"/>
  <c r="X19" i="7"/>
  <c r="X22" i="7" s="1"/>
  <c r="X40" i="7" s="1"/>
  <c r="R14" i="6"/>
  <c r="R19" i="6"/>
  <c r="AP21" i="6"/>
  <c r="AR21" i="6" s="1"/>
  <c r="AT21" i="6" s="1"/>
  <c r="AV21" i="6" s="1"/>
  <c r="AX21" i="6" s="1"/>
  <c r="R25" i="6"/>
  <c r="T25" i="6" s="1"/>
  <c r="V25" i="6" s="1"/>
  <c r="X25" i="6" s="1"/>
  <c r="Z25" i="6" s="1"/>
  <c r="R27" i="6"/>
  <c r="AP14" i="6" l="1"/>
  <c r="AR14" i="6" s="1"/>
  <c r="AT14" i="6" s="1"/>
  <c r="AV14" i="6" s="1"/>
  <c r="AX14" i="6" s="1"/>
  <c r="T14" i="6"/>
  <c r="V14" i="6" s="1"/>
  <c r="X14" i="6" s="1"/>
  <c r="Z14" i="6" s="1"/>
  <c r="AP19" i="6"/>
  <c r="AR19" i="6" s="1"/>
  <c r="AT19" i="6" s="1"/>
  <c r="AV19" i="6" s="1"/>
  <c r="AX19" i="6" s="1"/>
  <c r="T19" i="6"/>
  <c r="V19" i="6" s="1"/>
  <c r="X19" i="6" s="1"/>
  <c r="Z19" i="6" s="1"/>
  <c r="AP27" i="6"/>
  <c r="AR27" i="6" s="1"/>
  <c r="AT27" i="6" s="1"/>
  <c r="AV27" i="6" s="1"/>
  <c r="AX27" i="6" s="1"/>
  <c r="T27" i="6"/>
  <c r="V27" i="6" s="1"/>
  <c r="X27" i="6" s="1"/>
  <c r="Z27" i="6" s="1"/>
  <c r="AQ11" i="15"/>
  <c r="AS11" i="15" s="1"/>
  <c r="AU11" i="15" s="1"/>
  <c r="AW11" i="15" s="1"/>
  <c r="AP10" i="15"/>
  <c r="AP11" i="15"/>
  <c r="AP12" i="15"/>
  <c r="AP13" i="15"/>
  <c r="AP14" i="15"/>
  <c r="AP16" i="15"/>
  <c r="AP17" i="15"/>
  <c r="AP18" i="15"/>
  <c r="AP20" i="15"/>
  <c r="AP21" i="15"/>
  <c r="AP23" i="15"/>
  <c r="AP24" i="15"/>
  <c r="AP25" i="15"/>
  <c r="AP26" i="15"/>
  <c r="AP27" i="15"/>
  <c r="AP28" i="15"/>
  <c r="AP30" i="15"/>
  <c r="AP31" i="15"/>
  <c r="AP32" i="15"/>
  <c r="AP37" i="15"/>
  <c r="AP9" i="15"/>
  <c r="AB10" i="15"/>
  <c r="AD10" i="15" s="1"/>
  <c r="AF10" i="15" s="1"/>
  <c r="AH10" i="15" s="1"/>
  <c r="AB11" i="15"/>
  <c r="AD11" i="15" s="1"/>
  <c r="AF11" i="15" s="1"/>
  <c r="AH11" i="15" s="1"/>
  <c r="AB12" i="15"/>
  <c r="AD12" i="15" s="1"/>
  <c r="AF12" i="15" s="1"/>
  <c r="AH12" i="15" s="1"/>
  <c r="AB13" i="15"/>
  <c r="AD13" i="15" s="1"/>
  <c r="AF13" i="15" s="1"/>
  <c r="AH13" i="15" s="1"/>
  <c r="AB14" i="15"/>
  <c r="AD14" i="15" s="1"/>
  <c r="AF14" i="15" s="1"/>
  <c r="AH14" i="15" s="1"/>
  <c r="AB16" i="15"/>
  <c r="AD16" i="15" s="1"/>
  <c r="AF16" i="15" s="1"/>
  <c r="AH16" i="15" s="1"/>
  <c r="AB17" i="15"/>
  <c r="AD17" i="15" s="1"/>
  <c r="AF17" i="15" s="1"/>
  <c r="AH17" i="15" s="1"/>
  <c r="AB18" i="15"/>
  <c r="AD18" i="15" s="1"/>
  <c r="AF18" i="15" s="1"/>
  <c r="AH18" i="15" s="1"/>
  <c r="AB20" i="15"/>
  <c r="AD20" i="15" s="1"/>
  <c r="AF20" i="15" s="1"/>
  <c r="AH20" i="15" s="1"/>
  <c r="AB21" i="15"/>
  <c r="AD21" i="15" s="1"/>
  <c r="AF21" i="15" s="1"/>
  <c r="AH21" i="15" s="1"/>
  <c r="AB23" i="15"/>
  <c r="AD23" i="15" s="1"/>
  <c r="AF23" i="15" s="1"/>
  <c r="AH23" i="15" s="1"/>
  <c r="AB24" i="15"/>
  <c r="AD24" i="15" s="1"/>
  <c r="AF24" i="15" s="1"/>
  <c r="AH24" i="15" s="1"/>
  <c r="AB25" i="15"/>
  <c r="AD25" i="15" s="1"/>
  <c r="AF25" i="15" s="1"/>
  <c r="AH25" i="15" s="1"/>
  <c r="AB26" i="15"/>
  <c r="AD26" i="15" s="1"/>
  <c r="AF26" i="15" s="1"/>
  <c r="AH26" i="15" s="1"/>
  <c r="AB27" i="15"/>
  <c r="AD27" i="15" s="1"/>
  <c r="AF27" i="15" s="1"/>
  <c r="AH27" i="15" s="1"/>
  <c r="AB28" i="15"/>
  <c r="AD28" i="15" s="1"/>
  <c r="AF28" i="15" s="1"/>
  <c r="AH28" i="15" s="1"/>
  <c r="AB30" i="15"/>
  <c r="AD30" i="15" s="1"/>
  <c r="AF30" i="15" s="1"/>
  <c r="AH30" i="15" s="1"/>
  <c r="AB31" i="15"/>
  <c r="AD31" i="15" s="1"/>
  <c r="AF31" i="15" s="1"/>
  <c r="AH31" i="15" s="1"/>
  <c r="AB32" i="15"/>
  <c r="AD32" i="15" s="1"/>
  <c r="AF32" i="15" s="1"/>
  <c r="AH32" i="15" s="1"/>
  <c r="AB35" i="15"/>
  <c r="AD35" i="15" s="1"/>
  <c r="AF35" i="15" s="1"/>
  <c r="AH35" i="15" s="1"/>
  <c r="AB36" i="15"/>
  <c r="AD36" i="15" s="1"/>
  <c r="AF36" i="15" s="1"/>
  <c r="AH36" i="15" s="1"/>
  <c r="AB37" i="15"/>
  <c r="AD37" i="15" s="1"/>
  <c r="AF37" i="15" s="1"/>
  <c r="AH37" i="15" s="1"/>
  <c r="AB9" i="15"/>
  <c r="AD9" i="15" s="1"/>
  <c r="AF9" i="15" s="1"/>
  <c r="AH9" i="15" s="1"/>
  <c r="S10" i="15"/>
  <c r="U10" i="15" s="1"/>
  <c r="W10" i="15" s="1"/>
  <c r="Y10" i="15" s="1"/>
  <c r="S11" i="15"/>
  <c r="U11" i="15" s="1"/>
  <c r="W11" i="15" s="1"/>
  <c r="Y11" i="15" s="1"/>
  <c r="S12" i="15"/>
  <c r="U12" i="15" s="1"/>
  <c r="W12" i="15" s="1"/>
  <c r="Y12" i="15" s="1"/>
  <c r="S13" i="15"/>
  <c r="U13" i="15" s="1"/>
  <c r="W13" i="15" s="1"/>
  <c r="Y13" i="15" s="1"/>
  <c r="S14" i="15"/>
  <c r="U14" i="15" s="1"/>
  <c r="W14" i="15" s="1"/>
  <c r="Y14" i="15" s="1"/>
  <c r="S16" i="15"/>
  <c r="U16" i="15" s="1"/>
  <c r="W16" i="15" s="1"/>
  <c r="Y16" i="15" s="1"/>
  <c r="S17" i="15"/>
  <c r="U17" i="15" s="1"/>
  <c r="W17" i="15" s="1"/>
  <c r="Y17" i="15" s="1"/>
  <c r="S18" i="15"/>
  <c r="U18" i="15" s="1"/>
  <c r="W18" i="15" s="1"/>
  <c r="Y18" i="15" s="1"/>
  <c r="S20" i="15"/>
  <c r="U20" i="15" s="1"/>
  <c r="W20" i="15" s="1"/>
  <c r="Y20" i="15" s="1"/>
  <c r="S21" i="15"/>
  <c r="U21" i="15" s="1"/>
  <c r="W21" i="15" s="1"/>
  <c r="Y21" i="15" s="1"/>
  <c r="S23" i="15"/>
  <c r="U23" i="15" s="1"/>
  <c r="W23" i="15" s="1"/>
  <c r="Y23" i="15" s="1"/>
  <c r="S24" i="15"/>
  <c r="U24" i="15" s="1"/>
  <c r="W24" i="15" s="1"/>
  <c r="Y24" i="15" s="1"/>
  <c r="S25" i="15"/>
  <c r="U25" i="15" s="1"/>
  <c r="W25" i="15" s="1"/>
  <c r="Y25" i="15" s="1"/>
  <c r="S26" i="15"/>
  <c r="U26" i="15" s="1"/>
  <c r="W26" i="15" s="1"/>
  <c r="Y26" i="15" s="1"/>
  <c r="S27" i="15"/>
  <c r="U27" i="15" s="1"/>
  <c r="W27" i="15" s="1"/>
  <c r="Y27" i="15" s="1"/>
  <c r="S28" i="15"/>
  <c r="U28" i="15" s="1"/>
  <c r="W28" i="15" s="1"/>
  <c r="Y28" i="15" s="1"/>
  <c r="S30" i="15"/>
  <c r="U30" i="15" s="1"/>
  <c r="W30" i="15" s="1"/>
  <c r="Y30" i="15" s="1"/>
  <c r="S31" i="15"/>
  <c r="U31" i="15" s="1"/>
  <c r="W31" i="15" s="1"/>
  <c r="Y31" i="15" s="1"/>
  <c r="S32" i="15"/>
  <c r="U32" i="15" s="1"/>
  <c r="W32" i="15" s="1"/>
  <c r="Y32" i="15" s="1"/>
  <c r="S35" i="15"/>
  <c r="U35" i="15" s="1"/>
  <c r="W35" i="15" s="1"/>
  <c r="Y35" i="15" s="1"/>
  <c r="S36" i="15"/>
  <c r="U36" i="15" s="1"/>
  <c r="W36" i="15" s="1"/>
  <c r="Y36" i="15" s="1"/>
  <c r="S37" i="15"/>
  <c r="U37" i="15" s="1"/>
  <c r="W37" i="15" s="1"/>
  <c r="Y37" i="15" s="1"/>
  <c r="S9" i="15"/>
  <c r="U9" i="15" s="1"/>
  <c r="E10" i="15"/>
  <c r="G10" i="15" s="1"/>
  <c r="E12" i="15"/>
  <c r="G12" i="15" s="1"/>
  <c r="E13" i="15"/>
  <c r="G13" i="15" s="1"/>
  <c r="E14" i="15"/>
  <c r="G14" i="15" s="1"/>
  <c r="E17" i="15"/>
  <c r="G17" i="15" s="1"/>
  <c r="E18" i="15"/>
  <c r="G18" i="15" s="1"/>
  <c r="E20" i="15"/>
  <c r="G20" i="15" s="1"/>
  <c r="E21" i="15"/>
  <c r="G21" i="15" s="1"/>
  <c r="E23" i="15"/>
  <c r="G23" i="15" s="1"/>
  <c r="E25" i="15"/>
  <c r="G25" i="15" s="1"/>
  <c r="E26" i="15"/>
  <c r="G26" i="15" s="1"/>
  <c r="E27" i="15"/>
  <c r="G27" i="15" s="1"/>
  <c r="E28" i="15"/>
  <c r="G28" i="15" s="1"/>
  <c r="E30" i="15"/>
  <c r="G30" i="15" s="1"/>
  <c r="E31" i="15"/>
  <c r="G31" i="15" s="1"/>
  <c r="E32" i="15"/>
  <c r="G32" i="15" s="1"/>
  <c r="E36" i="15"/>
  <c r="G36" i="15" s="1"/>
  <c r="E37" i="15"/>
  <c r="G37" i="15" s="1"/>
  <c r="E39" i="15"/>
  <c r="G39" i="15" s="1"/>
  <c r="E9" i="15"/>
  <c r="G9" i="15" s="1"/>
  <c r="BI10" i="20"/>
  <c r="BI11" i="20"/>
  <c r="BI12" i="20"/>
  <c r="BI13" i="20"/>
  <c r="BI14" i="20"/>
  <c r="BI16" i="20"/>
  <c r="BI17" i="20"/>
  <c r="BI18" i="20"/>
  <c r="BI20" i="20"/>
  <c r="BI21" i="20"/>
  <c r="BI23" i="20"/>
  <c r="BI24" i="20"/>
  <c r="BI25" i="20"/>
  <c r="BI26" i="20"/>
  <c r="BI27" i="20"/>
  <c r="BI28" i="20"/>
  <c r="BI30" i="20"/>
  <c r="BI31" i="20"/>
  <c r="BI32" i="20"/>
  <c r="BI35" i="20"/>
  <c r="BI36" i="20"/>
  <c r="BI37" i="20"/>
  <c r="BI39" i="20"/>
  <c r="BI9" i="20"/>
  <c r="AG10" i="20"/>
  <c r="AI10" i="20" s="1"/>
  <c r="AK10" i="20" s="1"/>
  <c r="AG12" i="20"/>
  <c r="AI12" i="20" s="1"/>
  <c r="AK12" i="20" s="1"/>
  <c r="AG13" i="20"/>
  <c r="AI13" i="20" s="1"/>
  <c r="AK13" i="20" s="1"/>
  <c r="AG14" i="20"/>
  <c r="AI14" i="20" s="1"/>
  <c r="AK14" i="20" s="1"/>
  <c r="AG16" i="20"/>
  <c r="AI16" i="20" s="1"/>
  <c r="AK16" i="20" s="1"/>
  <c r="AG17" i="20"/>
  <c r="AI17" i="20" s="1"/>
  <c r="AK17" i="20" s="1"/>
  <c r="AG18" i="20"/>
  <c r="AI18" i="20" s="1"/>
  <c r="AK18" i="20" s="1"/>
  <c r="AG20" i="20"/>
  <c r="AI20" i="20" s="1"/>
  <c r="AK20" i="20" s="1"/>
  <c r="AG21" i="20"/>
  <c r="AI21" i="20" s="1"/>
  <c r="AK21" i="20" s="1"/>
  <c r="AG23" i="20"/>
  <c r="AI23" i="20" s="1"/>
  <c r="AK23" i="20" s="1"/>
  <c r="AG24" i="20"/>
  <c r="AI24" i="20" s="1"/>
  <c r="AK24" i="20" s="1"/>
  <c r="AG25" i="20"/>
  <c r="AI25" i="20" s="1"/>
  <c r="AK25" i="20" s="1"/>
  <c r="AG26" i="20"/>
  <c r="AI26" i="20" s="1"/>
  <c r="AK26" i="20" s="1"/>
  <c r="AG28" i="20"/>
  <c r="AI28" i="20" s="1"/>
  <c r="AK28" i="20" s="1"/>
  <c r="AG30" i="20"/>
  <c r="AI30" i="20" s="1"/>
  <c r="AK30" i="20" s="1"/>
  <c r="AG31" i="20"/>
  <c r="AI31" i="20" s="1"/>
  <c r="AK31" i="20" s="1"/>
  <c r="AG32" i="20"/>
  <c r="AI32" i="20" s="1"/>
  <c r="AK32" i="20" s="1"/>
  <c r="AG36" i="20"/>
  <c r="AI36" i="20" s="1"/>
  <c r="AK36" i="20" s="1"/>
  <c r="AG37" i="20"/>
  <c r="AI37" i="20" s="1"/>
  <c r="AK37" i="20" s="1"/>
  <c r="AG39" i="20"/>
  <c r="AI39" i="20" s="1"/>
  <c r="AK39" i="20" s="1"/>
  <c r="AG9" i="20"/>
  <c r="AI9" i="20" s="1"/>
  <c r="AK9" i="20" s="1"/>
  <c r="X10" i="20"/>
  <c r="X11" i="20"/>
  <c r="X12" i="20"/>
  <c r="X13" i="20"/>
  <c r="X14" i="20"/>
  <c r="X17" i="20"/>
  <c r="BJ17" i="20" s="1"/>
  <c r="BL17" i="20" s="1"/>
  <c r="BN17" i="20" s="1"/>
  <c r="BP17" i="20" s="1"/>
  <c r="BR17" i="20" s="1"/>
  <c r="X18" i="20"/>
  <c r="X20" i="20"/>
  <c r="X21" i="20"/>
  <c r="X23" i="20"/>
  <c r="X25" i="20"/>
  <c r="X26" i="20"/>
  <c r="X27" i="20"/>
  <c r="X28" i="20"/>
  <c r="X30" i="20"/>
  <c r="X31" i="20"/>
  <c r="X32" i="20"/>
  <c r="X36" i="20"/>
  <c r="X37" i="20"/>
  <c r="X9" i="20"/>
  <c r="O10" i="20"/>
  <c r="Q10" i="20" s="1"/>
  <c r="S10" i="20" s="1"/>
  <c r="U10" i="20" s="1"/>
  <c r="O11" i="20"/>
  <c r="Q11" i="20" s="1"/>
  <c r="S11" i="20" s="1"/>
  <c r="U11" i="20" s="1"/>
  <c r="O12" i="20"/>
  <c r="Q12" i="20" s="1"/>
  <c r="S12" i="20" s="1"/>
  <c r="U12" i="20" s="1"/>
  <c r="O13" i="20"/>
  <c r="Q13" i="20" s="1"/>
  <c r="S13" i="20" s="1"/>
  <c r="U13" i="20" s="1"/>
  <c r="O14" i="20"/>
  <c r="Q14" i="20" s="1"/>
  <c r="S14" i="20" s="1"/>
  <c r="U14" i="20" s="1"/>
  <c r="O15" i="20"/>
  <c r="Q15" i="20" s="1"/>
  <c r="S15" i="20" s="1"/>
  <c r="U15" i="20" s="1"/>
  <c r="O16" i="20"/>
  <c r="Q16" i="20" s="1"/>
  <c r="S16" i="20" s="1"/>
  <c r="U16" i="20" s="1"/>
  <c r="O17" i="20"/>
  <c r="Q17" i="20" s="1"/>
  <c r="S17" i="20" s="1"/>
  <c r="U17" i="20" s="1"/>
  <c r="O18" i="20"/>
  <c r="Q18" i="20" s="1"/>
  <c r="S18" i="20" s="1"/>
  <c r="U18" i="20" s="1"/>
  <c r="O19" i="20"/>
  <c r="Q19" i="20" s="1"/>
  <c r="S19" i="20" s="1"/>
  <c r="U19" i="20" s="1"/>
  <c r="O20" i="20"/>
  <c r="Q20" i="20" s="1"/>
  <c r="S20" i="20" s="1"/>
  <c r="U20" i="20" s="1"/>
  <c r="O21" i="20"/>
  <c r="Q21" i="20" s="1"/>
  <c r="S21" i="20" s="1"/>
  <c r="U21" i="20" s="1"/>
  <c r="O23" i="20"/>
  <c r="Q23" i="20" s="1"/>
  <c r="S23" i="20" s="1"/>
  <c r="U23" i="20" s="1"/>
  <c r="O24" i="20"/>
  <c r="Q24" i="20" s="1"/>
  <c r="S24" i="20" s="1"/>
  <c r="U24" i="20" s="1"/>
  <c r="O25" i="20"/>
  <c r="Q25" i="20" s="1"/>
  <c r="S25" i="20" s="1"/>
  <c r="U25" i="20" s="1"/>
  <c r="O26" i="20"/>
  <c r="Q26" i="20" s="1"/>
  <c r="S26" i="20" s="1"/>
  <c r="U26" i="20" s="1"/>
  <c r="O27" i="20"/>
  <c r="Q27" i="20" s="1"/>
  <c r="S27" i="20" s="1"/>
  <c r="U27" i="20" s="1"/>
  <c r="O28" i="20"/>
  <c r="Q28" i="20" s="1"/>
  <c r="S28" i="20" s="1"/>
  <c r="U28" i="20" s="1"/>
  <c r="O29" i="20"/>
  <c r="Q29" i="20" s="1"/>
  <c r="S29" i="20" s="1"/>
  <c r="U29" i="20" s="1"/>
  <c r="O30" i="20"/>
  <c r="Q30" i="20" s="1"/>
  <c r="S30" i="20" s="1"/>
  <c r="U30" i="20" s="1"/>
  <c r="O31" i="20"/>
  <c r="Q31" i="20" s="1"/>
  <c r="S31" i="20" s="1"/>
  <c r="U31" i="20" s="1"/>
  <c r="O32" i="20"/>
  <c r="Q32" i="20" s="1"/>
  <c r="S32" i="20" s="1"/>
  <c r="U32" i="20" s="1"/>
  <c r="O33" i="20"/>
  <c r="Q33" i="20" s="1"/>
  <c r="S33" i="20" s="1"/>
  <c r="U33" i="20" s="1"/>
  <c r="O35" i="20"/>
  <c r="Q35" i="20" s="1"/>
  <c r="S35" i="20" s="1"/>
  <c r="U35" i="20" s="1"/>
  <c r="O36" i="20"/>
  <c r="Q36" i="20" s="1"/>
  <c r="S36" i="20" s="1"/>
  <c r="U36" i="20" s="1"/>
  <c r="O37" i="20"/>
  <c r="Q37" i="20" s="1"/>
  <c r="S37" i="20" s="1"/>
  <c r="U37" i="20" s="1"/>
  <c r="O38" i="20"/>
  <c r="Q38" i="20" s="1"/>
  <c r="S38" i="20" s="1"/>
  <c r="U38" i="20" s="1"/>
  <c r="O9" i="20"/>
  <c r="Q9" i="20" s="1"/>
  <c r="S9" i="20" s="1"/>
  <c r="U9" i="20" s="1"/>
  <c r="N22" i="20"/>
  <c r="O22" i="20" s="1"/>
  <c r="Q22" i="20" s="1"/>
  <c r="S22" i="20" s="1"/>
  <c r="U22" i="20" s="1"/>
  <c r="N15" i="20"/>
  <c r="AS22" i="20"/>
  <c r="AT22" i="20" s="1"/>
  <c r="AS15" i="20"/>
  <c r="AT15" i="20" s="1"/>
  <c r="AT10" i="20"/>
  <c r="AT11" i="20"/>
  <c r="AT12" i="20"/>
  <c r="AT13" i="20"/>
  <c r="AT14" i="20"/>
  <c r="AT16" i="20"/>
  <c r="AT17" i="20"/>
  <c r="AT18" i="20"/>
  <c r="AT19" i="20"/>
  <c r="AT20" i="20"/>
  <c r="AT21" i="20"/>
  <c r="AT23" i="20"/>
  <c r="AT24" i="20"/>
  <c r="AT25" i="20"/>
  <c r="AT26" i="20"/>
  <c r="AT27" i="20"/>
  <c r="AT28" i="20"/>
  <c r="AT29" i="20"/>
  <c r="AT30" i="20"/>
  <c r="AT31" i="20"/>
  <c r="AT32" i="20"/>
  <c r="AT33" i="20"/>
  <c r="AT35" i="20"/>
  <c r="AT36" i="20"/>
  <c r="AT37" i="20"/>
  <c r="AT38" i="20"/>
  <c r="AT39" i="20"/>
  <c r="AT9" i="20"/>
  <c r="BJ28" i="20" l="1"/>
  <c r="BL28" i="20" s="1"/>
  <c r="BN28" i="20" s="1"/>
  <c r="BP28" i="20" s="1"/>
  <c r="BR28" i="20" s="1"/>
  <c r="BJ11" i="20"/>
  <c r="BL11" i="20" s="1"/>
  <c r="BN11" i="20" s="1"/>
  <c r="BP11" i="20" s="1"/>
  <c r="BR11" i="20" s="1"/>
  <c r="BJ24" i="20"/>
  <c r="BL24" i="20" s="1"/>
  <c r="BN24" i="20" s="1"/>
  <c r="BP24" i="20" s="1"/>
  <c r="BR24" i="20" s="1"/>
  <c r="AQ9" i="15"/>
  <c r="AS9" i="15" s="1"/>
  <c r="AU9" i="15" s="1"/>
  <c r="AW9" i="15" s="1"/>
  <c r="AQ35" i="15"/>
  <c r="AS35" i="15" s="1"/>
  <c r="AU35" i="15" s="1"/>
  <c r="AW35" i="15" s="1"/>
  <c r="AQ28" i="15"/>
  <c r="AS28" i="15" s="1"/>
  <c r="AU28" i="15" s="1"/>
  <c r="AW28" i="15" s="1"/>
  <c r="AQ23" i="15"/>
  <c r="AS23" i="15" s="1"/>
  <c r="AU23" i="15" s="1"/>
  <c r="AW23" i="15" s="1"/>
  <c r="AQ17" i="15"/>
  <c r="AS17" i="15" s="1"/>
  <c r="AU17" i="15" s="1"/>
  <c r="AW17" i="15" s="1"/>
  <c r="BJ32" i="20"/>
  <c r="BL32" i="20" s="1"/>
  <c r="BN32" i="20" s="1"/>
  <c r="BP32" i="20" s="1"/>
  <c r="BR32" i="20" s="1"/>
  <c r="BJ27" i="20"/>
  <c r="BL27" i="20" s="1"/>
  <c r="BN27" i="20" s="1"/>
  <c r="BP27" i="20" s="1"/>
  <c r="BR27" i="20" s="1"/>
  <c r="BJ21" i="20"/>
  <c r="BL21" i="20" s="1"/>
  <c r="BN21" i="20" s="1"/>
  <c r="BP21" i="20" s="1"/>
  <c r="BR21" i="20" s="1"/>
  <c r="BJ14" i="20"/>
  <c r="BL14" i="20" s="1"/>
  <c r="BN14" i="20" s="1"/>
  <c r="BP14" i="20" s="1"/>
  <c r="BR14" i="20" s="1"/>
  <c r="BJ10" i="20"/>
  <c r="BL10" i="20" s="1"/>
  <c r="BN10" i="20" s="1"/>
  <c r="BP10" i="20" s="1"/>
  <c r="BR10" i="20" s="1"/>
  <c r="W9" i="15"/>
  <c r="Y9" i="15" s="1"/>
  <c r="U15" i="15"/>
  <c r="W15" i="15" s="1"/>
  <c r="Y15" i="15" s="1"/>
  <c r="AQ39" i="15"/>
  <c r="AS39" i="15" s="1"/>
  <c r="AU39" i="15" s="1"/>
  <c r="AW39" i="15" s="1"/>
  <c r="AQ32" i="15"/>
  <c r="AS32" i="15" s="1"/>
  <c r="AU32" i="15" s="1"/>
  <c r="AW32" i="15" s="1"/>
  <c r="AQ27" i="15"/>
  <c r="AS27" i="15" s="1"/>
  <c r="AU27" i="15" s="1"/>
  <c r="AW27" i="15" s="1"/>
  <c r="AQ21" i="15"/>
  <c r="AS21" i="15" s="1"/>
  <c r="AU21" i="15" s="1"/>
  <c r="AW21" i="15" s="1"/>
  <c r="AQ14" i="15"/>
  <c r="AS14" i="15" s="1"/>
  <c r="AU14" i="15" s="1"/>
  <c r="AW14" i="15" s="1"/>
  <c r="AQ10" i="15"/>
  <c r="AS10" i="15" s="1"/>
  <c r="AU10" i="15" s="1"/>
  <c r="AW10" i="15" s="1"/>
  <c r="BJ31" i="20"/>
  <c r="BL31" i="20" s="1"/>
  <c r="BN31" i="20" s="1"/>
  <c r="BP31" i="20" s="1"/>
  <c r="BR31" i="20" s="1"/>
  <c r="BJ26" i="20"/>
  <c r="BL26" i="20" s="1"/>
  <c r="BN26" i="20" s="1"/>
  <c r="BP26" i="20" s="1"/>
  <c r="BR26" i="20" s="1"/>
  <c r="BJ20" i="20"/>
  <c r="BL20" i="20" s="1"/>
  <c r="BN20" i="20" s="1"/>
  <c r="BP20" i="20" s="1"/>
  <c r="BR20" i="20" s="1"/>
  <c r="BJ13" i="20"/>
  <c r="BL13" i="20" s="1"/>
  <c r="BN13" i="20" s="1"/>
  <c r="BP13" i="20" s="1"/>
  <c r="BR13" i="20" s="1"/>
  <c r="AQ37" i="15"/>
  <c r="AS37" i="15" s="1"/>
  <c r="AU37" i="15" s="1"/>
  <c r="AW37" i="15" s="1"/>
  <c r="AQ31" i="15"/>
  <c r="AS31" i="15" s="1"/>
  <c r="AU31" i="15" s="1"/>
  <c r="AW31" i="15" s="1"/>
  <c r="AQ26" i="15"/>
  <c r="AS26" i="15" s="1"/>
  <c r="AU26" i="15" s="1"/>
  <c r="AW26" i="15" s="1"/>
  <c r="AQ20" i="15"/>
  <c r="AS20" i="15" s="1"/>
  <c r="AU20" i="15" s="1"/>
  <c r="AW20" i="15" s="1"/>
  <c r="AQ13" i="15"/>
  <c r="AS13" i="15" s="1"/>
  <c r="AU13" i="15" s="1"/>
  <c r="AW13" i="15" s="1"/>
  <c r="BJ36" i="20"/>
  <c r="BL36" i="20" s="1"/>
  <c r="BN36" i="20" s="1"/>
  <c r="BP36" i="20" s="1"/>
  <c r="BR36" i="20" s="1"/>
  <c r="BJ23" i="20"/>
  <c r="BL23" i="20" s="1"/>
  <c r="BN23" i="20" s="1"/>
  <c r="BP23" i="20" s="1"/>
  <c r="BR23" i="20" s="1"/>
  <c r="BJ37" i="20"/>
  <c r="BL37" i="20" s="1"/>
  <c r="BN37" i="20" s="1"/>
  <c r="BP37" i="20" s="1"/>
  <c r="BR37" i="20" s="1"/>
  <c r="BJ30" i="20"/>
  <c r="BL30" i="20" s="1"/>
  <c r="BN30" i="20" s="1"/>
  <c r="BP30" i="20" s="1"/>
  <c r="BR30" i="20" s="1"/>
  <c r="BJ25" i="20"/>
  <c r="BL25" i="20" s="1"/>
  <c r="BN25" i="20" s="1"/>
  <c r="BP25" i="20" s="1"/>
  <c r="BR25" i="20" s="1"/>
  <c r="BJ18" i="20"/>
  <c r="BL18" i="20" s="1"/>
  <c r="BN18" i="20" s="1"/>
  <c r="BP18" i="20" s="1"/>
  <c r="BR18" i="20" s="1"/>
  <c r="BJ12" i="20"/>
  <c r="BL12" i="20" s="1"/>
  <c r="BN12" i="20" s="1"/>
  <c r="BP12" i="20" s="1"/>
  <c r="BR12" i="20" s="1"/>
  <c r="BJ9" i="20"/>
  <c r="BL9" i="20" s="1"/>
  <c r="BN9" i="20" s="1"/>
  <c r="BP9" i="20" s="1"/>
  <c r="BR9" i="20" s="1"/>
  <c r="AQ36" i="15"/>
  <c r="AS36" i="15" s="1"/>
  <c r="AU36" i="15" s="1"/>
  <c r="AW36" i="15" s="1"/>
  <c r="AQ30" i="15"/>
  <c r="AS30" i="15" s="1"/>
  <c r="AU30" i="15" s="1"/>
  <c r="AW30" i="15" s="1"/>
  <c r="AQ25" i="15"/>
  <c r="AS25" i="15" s="1"/>
  <c r="AU25" i="15" s="1"/>
  <c r="AW25" i="15" s="1"/>
  <c r="AQ18" i="15"/>
  <c r="AS18" i="15" s="1"/>
  <c r="AU18" i="15" s="1"/>
  <c r="AW18" i="15" s="1"/>
  <c r="AQ12" i="15"/>
  <c r="AS12" i="15" s="1"/>
  <c r="AU12" i="15" s="1"/>
  <c r="AW12" i="15" s="1"/>
  <c r="I10" i="16"/>
  <c r="I12" i="16"/>
  <c r="I13" i="16"/>
  <c r="I14" i="16"/>
  <c r="I16" i="16"/>
  <c r="I17" i="16"/>
  <c r="I18" i="16"/>
  <c r="I19" i="16"/>
  <c r="I20" i="16"/>
  <c r="I21" i="16"/>
  <c r="I23" i="16"/>
  <c r="J23" i="16" s="1"/>
  <c r="L23" i="16" s="1"/>
  <c r="I24" i="16"/>
  <c r="I25" i="16"/>
  <c r="I26" i="16"/>
  <c r="I27" i="16"/>
  <c r="J27" i="16" s="1"/>
  <c r="L27" i="16" s="1"/>
  <c r="I28" i="16"/>
  <c r="I29" i="16"/>
  <c r="I30" i="16"/>
  <c r="I31" i="16"/>
  <c r="I32" i="16"/>
  <c r="I33" i="16"/>
  <c r="I35" i="16"/>
  <c r="J35" i="16" s="1"/>
  <c r="L35" i="16" s="1"/>
  <c r="I37" i="16"/>
  <c r="I39" i="16"/>
  <c r="I9" i="16"/>
  <c r="I15" i="16" s="1"/>
  <c r="I22" i="16" s="1"/>
  <c r="D34" i="16"/>
  <c r="D22" i="16"/>
  <c r="D15" i="16"/>
  <c r="E10" i="16"/>
  <c r="E11" i="16"/>
  <c r="E12" i="16"/>
  <c r="E13" i="16"/>
  <c r="E14" i="16"/>
  <c r="E16" i="16"/>
  <c r="E20" i="16"/>
  <c r="E21" i="16"/>
  <c r="E23" i="16"/>
  <c r="E25" i="16"/>
  <c r="E26" i="16"/>
  <c r="E27" i="16"/>
  <c r="E28" i="16"/>
  <c r="E30" i="16"/>
  <c r="E31" i="16"/>
  <c r="E32" i="16"/>
  <c r="E34" i="16"/>
  <c r="E35" i="16"/>
  <c r="E36" i="16"/>
  <c r="E37" i="16"/>
  <c r="E39" i="16"/>
  <c r="E9" i="16"/>
  <c r="AD10" i="42" l="1"/>
  <c r="AD11" i="42"/>
  <c r="AD12" i="42"/>
  <c r="AD13" i="42"/>
  <c r="AD14" i="42"/>
  <c r="AD16" i="42"/>
  <c r="AD17" i="42"/>
  <c r="AD18" i="42"/>
  <c r="AD19" i="42"/>
  <c r="AD20" i="42"/>
  <c r="AD21" i="42"/>
  <c r="AD23" i="42"/>
  <c r="AD24" i="42"/>
  <c r="AD25" i="42"/>
  <c r="AD26" i="42"/>
  <c r="AD27" i="42"/>
  <c r="AD28" i="42"/>
  <c r="AD29" i="42"/>
  <c r="AD30" i="42"/>
  <c r="AD31" i="42"/>
  <c r="AD32" i="42"/>
  <c r="AD33" i="42"/>
  <c r="AD35" i="42"/>
  <c r="AD36" i="42"/>
  <c r="AD37" i="42"/>
  <c r="AD39" i="42"/>
  <c r="Z10" i="42"/>
  <c r="Z11" i="42"/>
  <c r="AB11" i="42" s="1"/>
  <c r="Z12" i="42"/>
  <c r="AB12" i="42" s="1"/>
  <c r="Z13" i="42"/>
  <c r="AB13" i="42" s="1"/>
  <c r="Z14" i="42"/>
  <c r="AB14" i="42" s="1"/>
  <c r="Z16" i="42"/>
  <c r="AB16" i="42" s="1"/>
  <c r="Z17" i="42"/>
  <c r="AB17" i="42" s="1"/>
  <c r="Z18" i="42"/>
  <c r="AB18" i="42" s="1"/>
  <c r="Z20" i="42"/>
  <c r="AB20" i="42" s="1"/>
  <c r="Z21" i="42"/>
  <c r="AB21" i="42" s="1"/>
  <c r="Z23" i="42"/>
  <c r="AB23" i="42" s="1"/>
  <c r="Z24" i="42"/>
  <c r="AB24" i="42" s="1"/>
  <c r="Z25" i="42"/>
  <c r="AB25" i="42" s="1"/>
  <c r="Z26" i="42"/>
  <c r="AB26" i="42" s="1"/>
  <c r="Z27" i="42"/>
  <c r="AB27" i="42" s="1"/>
  <c r="Z28" i="42"/>
  <c r="AB28" i="42" s="1"/>
  <c r="Z29" i="42"/>
  <c r="AB29" i="42" s="1"/>
  <c r="Z30" i="42"/>
  <c r="AB30" i="42" s="1"/>
  <c r="Z31" i="42"/>
  <c r="AB31" i="42" s="1"/>
  <c r="Z32" i="42"/>
  <c r="AB32" i="42" s="1"/>
  <c r="Z35" i="42"/>
  <c r="Z36" i="42"/>
  <c r="AB36" i="42" s="1"/>
  <c r="Z37" i="42"/>
  <c r="AB37" i="42" s="1"/>
  <c r="Z39" i="42"/>
  <c r="AB39" i="42" s="1"/>
  <c r="Z9" i="42"/>
  <c r="P22" i="42"/>
  <c r="P15" i="42"/>
  <c r="R10" i="42"/>
  <c r="R11" i="42"/>
  <c r="R12" i="42"/>
  <c r="R13" i="42"/>
  <c r="R14" i="42"/>
  <c r="R16" i="42"/>
  <c r="R17" i="42"/>
  <c r="R18" i="42"/>
  <c r="R20" i="42"/>
  <c r="R21" i="42"/>
  <c r="R23" i="42"/>
  <c r="R24" i="42"/>
  <c r="R25" i="42"/>
  <c r="R26" i="42"/>
  <c r="R27" i="42"/>
  <c r="R28" i="42"/>
  <c r="R29" i="42"/>
  <c r="R30" i="42"/>
  <c r="R31" i="42"/>
  <c r="R32" i="42"/>
  <c r="R35" i="42"/>
  <c r="R36" i="42"/>
  <c r="R37" i="42"/>
  <c r="R39" i="42"/>
  <c r="R9" i="42"/>
  <c r="F11" i="42"/>
  <c r="F12" i="42"/>
  <c r="F13" i="42"/>
  <c r="F14" i="42"/>
  <c r="F16" i="42"/>
  <c r="F18" i="42"/>
  <c r="F20" i="42"/>
  <c r="F21" i="42"/>
  <c r="F23" i="42"/>
  <c r="F24" i="42"/>
  <c r="F25" i="42"/>
  <c r="F26" i="42"/>
  <c r="F28" i="42"/>
  <c r="F30" i="42"/>
  <c r="F31" i="42"/>
  <c r="F32" i="42"/>
  <c r="F36" i="42"/>
  <c r="F37" i="42"/>
  <c r="D15" i="42"/>
  <c r="D22" i="42" s="1"/>
  <c r="AD22" i="42" s="1"/>
  <c r="AL10" i="41"/>
  <c r="AL11" i="41"/>
  <c r="AL12" i="41"/>
  <c r="AL13" i="41"/>
  <c r="AL14" i="41"/>
  <c r="AL16" i="41"/>
  <c r="AL17" i="41"/>
  <c r="AL18" i="41"/>
  <c r="AL19" i="41"/>
  <c r="AL20" i="41"/>
  <c r="AL21" i="41"/>
  <c r="AL23" i="41"/>
  <c r="AL24" i="41"/>
  <c r="AL25" i="41"/>
  <c r="AL26" i="41"/>
  <c r="AL27" i="41"/>
  <c r="AL28" i="41"/>
  <c r="AL29" i="41"/>
  <c r="AL30" i="41"/>
  <c r="AL31" i="41"/>
  <c r="AL32" i="41"/>
  <c r="AL33" i="41"/>
  <c r="AL35" i="41"/>
  <c r="AL36" i="41"/>
  <c r="AL37" i="41"/>
  <c r="AL39" i="41"/>
  <c r="AL9" i="41"/>
  <c r="AA38" i="41"/>
  <c r="AA34" i="41"/>
  <c r="AB10" i="41"/>
  <c r="AB11" i="41"/>
  <c r="AB12" i="41"/>
  <c r="AB13" i="41"/>
  <c r="AB14" i="41"/>
  <c r="AB18" i="41"/>
  <c r="AB20" i="41"/>
  <c r="AB21" i="41"/>
  <c r="AB23" i="41"/>
  <c r="AB24" i="41"/>
  <c r="AB25" i="41"/>
  <c r="AB26" i="41"/>
  <c r="AB27" i="41"/>
  <c r="AB28" i="41"/>
  <c r="AB30" i="41"/>
  <c r="AB31" i="41"/>
  <c r="AB32" i="41"/>
  <c r="AB35" i="41"/>
  <c r="AB36" i="41"/>
  <c r="AB37" i="41"/>
  <c r="AB39" i="41"/>
  <c r="AB9" i="41"/>
  <c r="AA15" i="41"/>
  <c r="AA22" i="41" s="1"/>
  <c r="R34" i="41"/>
  <c r="AL34" i="41" s="1"/>
  <c r="S10" i="41"/>
  <c r="S11" i="41"/>
  <c r="S12" i="41"/>
  <c r="S13" i="41"/>
  <c r="S14" i="41"/>
  <c r="S16" i="41"/>
  <c r="S17" i="41"/>
  <c r="S18" i="41"/>
  <c r="S20" i="41"/>
  <c r="S21" i="41"/>
  <c r="S23" i="41"/>
  <c r="S24" i="41"/>
  <c r="S25" i="41"/>
  <c r="S26" i="41"/>
  <c r="S27" i="41"/>
  <c r="S28" i="41"/>
  <c r="S30" i="41"/>
  <c r="S31" i="41"/>
  <c r="S32" i="41"/>
  <c r="S35" i="41"/>
  <c r="S36" i="41"/>
  <c r="S37" i="41"/>
  <c r="S39" i="41"/>
  <c r="S9" i="41"/>
  <c r="R15" i="41"/>
  <c r="R22" i="41" s="1"/>
  <c r="N10" i="41"/>
  <c r="N11" i="41"/>
  <c r="N12" i="41"/>
  <c r="N13" i="41"/>
  <c r="N14" i="41"/>
  <c r="N18" i="41"/>
  <c r="N20" i="41"/>
  <c r="N21" i="41"/>
  <c r="N23" i="41"/>
  <c r="N24" i="41"/>
  <c r="N25" i="41"/>
  <c r="N26" i="41"/>
  <c r="N27" i="41"/>
  <c r="N28" i="41"/>
  <c r="N30" i="41"/>
  <c r="N31" i="41"/>
  <c r="N32" i="41"/>
  <c r="N35" i="41"/>
  <c r="N36" i="41"/>
  <c r="N37" i="41"/>
  <c r="N39" i="41"/>
  <c r="N9" i="41"/>
  <c r="E10" i="41"/>
  <c r="E11" i="41"/>
  <c r="E12" i="41"/>
  <c r="E13" i="41"/>
  <c r="E14" i="41"/>
  <c r="E16" i="41"/>
  <c r="E18" i="41"/>
  <c r="E20" i="41"/>
  <c r="E21" i="41"/>
  <c r="E23" i="41"/>
  <c r="E24" i="41"/>
  <c r="E25" i="41"/>
  <c r="E26" i="41"/>
  <c r="E27" i="41"/>
  <c r="E28" i="41"/>
  <c r="E30" i="41"/>
  <c r="E31" i="41"/>
  <c r="E32" i="41"/>
  <c r="E35" i="41"/>
  <c r="E36" i="41"/>
  <c r="E37" i="41"/>
  <c r="E39" i="41"/>
  <c r="E9" i="41"/>
  <c r="T34" i="19"/>
  <c r="AC15" i="19"/>
  <c r="AC22" i="19" s="1"/>
  <c r="AL22" i="41" l="1"/>
  <c r="AL15" i="41"/>
  <c r="AD15" i="42"/>
  <c r="R38" i="41"/>
  <c r="AL38" i="41" s="1"/>
  <c r="T15" i="19"/>
  <c r="AN15" i="19" s="1"/>
  <c r="AN10" i="19"/>
  <c r="AN11" i="19"/>
  <c r="AN12" i="19"/>
  <c r="AN13" i="19"/>
  <c r="AN14" i="19"/>
  <c r="AN16" i="19"/>
  <c r="AN17" i="19"/>
  <c r="AN18" i="19"/>
  <c r="AN19" i="19"/>
  <c r="AN20" i="19"/>
  <c r="AN21" i="19"/>
  <c r="AN23" i="19"/>
  <c r="AN24" i="19"/>
  <c r="AN25" i="19"/>
  <c r="AN26" i="19"/>
  <c r="AN27" i="19"/>
  <c r="AN28" i="19"/>
  <c r="AN29" i="19"/>
  <c r="AN30" i="19"/>
  <c r="AN31" i="19"/>
  <c r="AN32" i="19"/>
  <c r="AN33" i="19"/>
  <c r="AN34" i="19"/>
  <c r="AN35" i="19"/>
  <c r="AN36" i="19"/>
  <c r="AN37" i="19"/>
  <c r="AN9" i="19"/>
  <c r="N10" i="19"/>
  <c r="N11" i="19"/>
  <c r="N12" i="19"/>
  <c r="N13" i="19"/>
  <c r="N14" i="19"/>
  <c r="N16" i="19"/>
  <c r="N17" i="19"/>
  <c r="N18" i="19"/>
  <c r="N20" i="19"/>
  <c r="N21" i="19"/>
  <c r="N23" i="19"/>
  <c r="N24" i="19"/>
  <c r="N25" i="19"/>
  <c r="N26" i="19"/>
  <c r="N27" i="19"/>
  <c r="N28" i="19"/>
  <c r="N30" i="19"/>
  <c r="N31" i="19"/>
  <c r="N32" i="19"/>
  <c r="N34" i="19"/>
  <c r="N35" i="19"/>
  <c r="N36" i="19"/>
  <c r="N37" i="19"/>
  <c r="N9" i="19"/>
  <c r="E10" i="19"/>
  <c r="E11" i="19"/>
  <c r="E12" i="19"/>
  <c r="E13" i="19"/>
  <c r="E14" i="19"/>
  <c r="E16" i="19"/>
  <c r="E17" i="19"/>
  <c r="E18" i="19"/>
  <c r="E20" i="19"/>
  <c r="E21" i="19"/>
  <c r="E23" i="19"/>
  <c r="E24" i="19"/>
  <c r="E25" i="19"/>
  <c r="E26" i="19"/>
  <c r="E27" i="19"/>
  <c r="E28" i="19"/>
  <c r="E30" i="19"/>
  <c r="E31" i="19"/>
  <c r="E32" i="19"/>
  <c r="E35" i="19"/>
  <c r="E36" i="19"/>
  <c r="E37" i="19"/>
  <c r="E9" i="19"/>
  <c r="AD10" i="19"/>
  <c r="AD11" i="19"/>
  <c r="AD12" i="19"/>
  <c r="AD13" i="19"/>
  <c r="AD14" i="19"/>
  <c r="AD16" i="19"/>
  <c r="AD17" i="19"/>
  <c r="AD18" i="19"/>
  <c r="AD20" i="19"/>
  <c r="AD21" i="19"/>
  <c r="AD23" i="19"/>
  <c r="AD24" i="19"/>
  <c r="AD25" i="19"/>
  <c r="AD26" i="19"/>
  <c r="AD27" i="19"/>
  <c r="AD28" i="19"/>
  <c r="AD30" i="19"/>
  <c r="AD31" i="19"/>
  <c r="AD32" i="19"/>
  <c r="AD36" i="19"/>
  <c r="AD37" i="19"/>
  <c r="AD39" i="19"/>
  <c r="AD9" i="19"/>
  <c r="U10" i="19"/>
  <c r="U11" i="19"/>
  <c r="U12" i="19"/>
  <c r="U13" i="19"/>
  <c r="U14" i="19"/>
  <c r="U16" i="19"/>
  <c r="U17" i="19"/>
  <c r="U18" i="19"/>
  <c r="U20" i="19"/>
  <c r="U21" i="19"/>
  <c r="U23" i="19"/>
  <c r="U24" i="19"/>
  <c r="U25" i="19"/>
  <c r="U26" i="19"/>
  <c r="U27" i="19"/>
  <c r="U28" i="19"/>
  <c r="U30" i="19"/>
  <c r="U31" i="19"/>
  <c r="U32" i="19"/>
  <c r="U35" i="19"/>
  <c r="U37" i="19"/>
  <c r="U39" i="19"/>
  <c r="U9" i="19"/>
  <c r="T22" i="19" l="1"/>
  <c r="AN22" i="19" s="1"/>
  <c r="AN38" i="19"/>
  <c r="DN35" i="8" l="1"/>
  <c r="DN23" i="8"/>
  <c r="AM25" i="6" l="1"/>
  <c r="D44" i="6" l="1"/>
  <c r="F44" i="6"/>
  <c r="P44" i="6"/>
  <c r="D26" i="6"/>
  <c r="F26" i="6"/>
  <c r="P26" i="6"/>
  <c r="AP44" i="6" l="1"/>
  <c r="AR44" i="6" s="1"/>
  <c r="AT44" i="6" s="1"/>
  <c r="AV44" i="6" s="1"/>
  <c r="AX44" i="6" s="1"/>
  <c r="H44" i="6"/>
  <c r="J44" i="6" s="1"/>
  <c r="L44" i="6" s="1"/>
  <c r="N44" i="6" s="1"/>
  <c r="AN26" i="6"/>
  <c r="AN44" i="6"/>
  <c r="FO30" i="8"/>
  <c r="FM30" i="8"/>
  <c r="FM40" i="8" s="1"/>
  <c r="D30" i="8"/>
  <c r="F30" i="8"/>
  <c r="H30" i="8" s="1"/>
  <c r="J30" i="8" s="1"/>
  <c r="L30" i="8" s="1"/>
  <c r="N30" i="8" s="1"/>
  <c r="O30" i="8"/>
  <c r="P30" i="8"/>
  <c r="Q30" i="8"/>
  <c r="S30" i="8" s="1"/>
  <c r="U30" i="8" s="1"/>
  <c r="W30" i="8" s="1"/>
  <c r="Y30" i="8" s="1"/>
  <c r="AA30" i="8"/>
  <c r="AB30" i="8"/>
  <c r="AD30" i="8" s="1"/>
  <c r="AF30" i="8" s="1"/>
  <c r="AH30" i="8"/>
  <c r="AI30" i="8"/>
  <c r="AK30" i="8" s="1"/>
  <c r="AM30" i="8" s="1"/>
  <c r="AO30" i="8"/>
  <c r="AP30" i="8"/>
  <c r="AR30" i="8" s="1"/>
  <c r="AS30" i="8"/>
  <c r="AT30" i="8"/>
  <c r="AU30" i="8"/>
  <c r="AW30" i="8" s="1"/>
  <c r="AX30" i="8"/>
  <c r="AY30" i="8"/>
  <c r="BA30" i="8"/>
  <c r="BC30" i="8" s="1"/>
  <c r="BE30" i="8" s="1"/>
  <c r="BG30" i="8" s="1"/>
  <c r="BI30" i="8"/>
  <c r="BJ30" i="8"/>
  <c r="BL30" i="8" s="1"/>
  <c r="BN30" i="8" s="1"/>
  <c r="BP30" i="8"/>
  <c r="BQ30" i="8"/>
  <c r="BS30" i="8" s="1"/>
  <c r="BU30" i="8"/>
  <c r="BV30" i="8"/>
  <c r="BX30" i="8" s="1"/>
  <c r="BZ30" i="8"/>
  <c r="CE30" i="8"/>
  <c r="CF30" i="8"/>
  <c r="CH30" i="8"/>
  <c r="CI30" i="8"/>
  <c r="CK30" i="8" s="1"/>
  <c r="CM30" i="8"/>
  <c r="CN30" i="8"/>
  <c r="CP30" i="8"/>
  <c r="CQ30" i="8"/>
  <c r="CS30" i="8" s="1"/>
  <c r="CU30" i="8" s="1"/>
  <c r="CW30" i="8" s="1"/>
  <c r="CY30" i="8"/>
  <c r="CZ30" i="8"/>
  <c r="DB30" i="8" s="1"/>
  <c r="DC30" i="8"/>
  <c r="DD30" i="8"/>
  <c r="DE30" i="8"/>
  <c r="DG30" i="8" s="1"/>
  <c r="DI30" i="8" s="1"/>
  <c r="DK30" i="8" s="1"/>
  <c r="DM30" i="8" s="1"/>
  <c r="DN30" i="8"/>
  <c r="DO30" i="8"/>
  <c r="DP30" i="8"/>
  <c r="DT30" i="8" s="1"/>
  <c r="EB30" i="8"/>
  <c r="EC30" i="8"/>
  <c r="EE30" i="8" s="1"/>
  <c r="EF30" i="8"/>
  <c r="EG30" i="8"/>
  <c r="EH30" i="8"/>
  <c r="EJ30" i="8" s="1"/>
  <c r="EK30" i="8"/>
  <c r="EL30" i="8"/>
  <c r="EM30" i="8"/>
  <c r="EO30" i="8" s="1"/>
  <c r="EQ30" i="8" s="1"/>
  <c r="ES30" i="8" s="1"/>
  <c r="ET30" i="8"/>
  <c r="ET40" i="8" s="1"/>
  <c r="EU30" i="8"/>
  <c r="EU40" i="8" s="1"/>
  <c r="EV30" i="8"/>
  <c r="EV40" i="8" s="1"/>
  <c r="EW30" i="8"/>
  <c r="EW40" i="8" s="1"/>
  <c r="EX30" i="8"/>
  <c r="EX40" i="8" s="1"/>
  <c r="EY30" i="8"/>
  <c r="EY40" i="8" s="1"/>
  <c r="EZ30" i="8"/>
  <c r="EZ40" i="8" s="1"/>
  <c r="FA30" i="8"/>
  <c r="FA40" i="8" s="1"/>
  <c r="FB30" i="8"/>
  <c r="FN30" i="8"/>
  <c r="FN40" i="8" s="1"/>
  <c r="C30" i="8"/>
  <c r="FO40" i="8" l="1"/>
  <c r="FQ40" i="8" s="1"/>
  <c r="FS40" i="8" s="1"/>
  <c r="FQ30" i="8"/>
  <c r="FS30" i="8" s="1"/>
  <c r="FB40" i="8"/>
  <c r="FD40" i="8" s="1"/>
  <c r="FD30" i="8"/>
  <c r="GO30" i="8"/>
  <c r="C34" i="41"/>
  <c r="E34" i="41" s="1"/>
  <c r="AK35" i="41"/>
  <c r="AM35" i="41" s="1"/>
  <c r="AO35" i="15"/>
  <c r="AB33" i="6" l="1"/>
  <c r="AN33" i="6"/>
  <c r="EW23" i="8"/>
  <c r="AA45" i="6" l="1"/>
  <c r="GN10" i="8" l="1"/>
  <c r="AA12" i="6" s="1"/>
  <c r="GN12" i="8"/>
  <c r="AA14" i="6" s="1"/>
  <c r="GN17" i="8"/>
  <c r="AA19" i="6" s="1"/>
  <c r="GN18" i="8"/>
  <c r="AA20" i="6" s="1"/>
  <c r="AA22" i="6"/>
  <c r="AA29" i="6"/>
  <c r="GN27" i="8"/>
  <c r="AA30" i="6" s="1"/>
  <c r="GN28" i="8"/>
  <c r="AA31" i="6" s="1"/>
  <c r="GN29" i="8"/>
  <c r="AA32" i="6" s="1"/>
  <c r="GN31" i="8"/>
  <c r="GN32" i="8"/>
  <c r="GN33" i="8"/>
  <c r="AA36" i="6" s="1"/>
  <c r="GN36" i="8"/>
  <c r="AA39" i="6" s="1"/>
  <c r="GN37" i="8"/>
  <c r="AA40" i="6" s="1"/>
  <c r="AO39" i="15" l="1"/>
  <c r="H29" i="15"/>
  <c r="BH39" i="20"/>
  <c r="AC39" i="42"/>
  <c r="AK39" i="41"/>
  <c r="AM39" i="41" s="1"/>
  <c r="AM39" i="19"/>
  <c r="AO39" i="19" s="1"/>
  <c r="EM35" i="8"/>
  <c r="EO35" i="8" s="1"/>
  <c r="EQ35" i="8" s="1"/>
  <c r="ES35" i="8" s="1"/>
  <c r="EL35" i="8"/>
  <c r="EK35" i="8"/>
  <c r="EM34" i="8"/>
  <c r="EO34" i="8" s="1"/>
  <c r="EQ34" i="8" s="1"/>
  <c r="ES34" i="8" s="1"/>
  <c r="EL34" i="8"/>
  <c r="EK34" i="8"/>
  <c r="C34" i="8"/>
  <c r="GN39" i="8"/>
  <c r="AA41" i="6" s="1"/>
  <c r="O45" i="6" l="1"/>
  <c r="EL40" i="8"/>
  <c r="EM40" i="8"/>
  <c r="EO40" i="8" s="1"/>
  <c r="EQ40" i="8" s="1"/>
  <c r="ES40" i="8" s="1"/>
  <c r="EK40" i="8"/>
  <c r="AE29" i="20"/>
  <c r="AL29" i="20"/>
  <c r="V29" i="20"/>
  <c r="C29" i="20"/>
  <c r="BQ35" i="8" l="1"/>
  <c r="BS35" i="8" s="1"/>
  <c r="BP35" i="8"/>
  <c r="BO35" i="8"/>
  <c r="BQ34" i="8"/>
  <c r="BS34" i="8" s="1"/>
  <c r="BP34" i="8"/>
  <c r="BO34" i="8"/>
  <c r="BO25" i="8"/>
  <c r="BO30" i="8" s="1"/>
  <c r="BQ19" i="8"/>
  <c r="BS19" i="8" s="1"/>
  <c r="BP19" i="8"/>
  <c r="BO19" i="8"/>
  <c r="BQ15" i="8"/>
  <c r="BS15" i="8" s="1"/>
  <c r="BP15" i="8"/>
  <c r="BO15" i="8"/>
  <c r="BI15" i="8"/>
  <c r="BJ15" i="8"/>
  <c r="BL15" i="8" s="1"/>
  <c r="BN15" i="8" s="1"/>
  <c r="BT15" i="8"/>
  <c r="BV35" i="8"/>
  <c r="BX35" i="8" s="1"/>
  <c r="BU35" i="8"/>
  <c r="BT35" i="8"/>
  <c r="BV34" i="8"/>
  <c r="BX34" i="8" s="1"/>
  <c r="BU34" i="8"/>
  <c r="BT34" i="8"/>
  <c r="BT25" i="8"/>
  <c r="BT30" i="8" s="1"/>
  <c r="BV19" i="8"/>
  <c r="BX19" i="8" s="1"/>
  <c r="BU19" i="8"/>
  <c r="BT19" i="8"/>
  <c r="BV15" i="8"/>
  <c r="BX15" i="8" s="1"/>
  <c r="BU15" i="8"/>
  <c r="CF35" i="8"/>
  <c r="CE35" i="8"/>
  <c r="CD35" i="8"/>
  <c r="CF34" i="8"/>
  <c r="CE34" i="8"/>
  <c r="CD34" i="8"/>
  <c r="CD25" i="8"/>
  <c r="CD30" i="8" s="1"/>
  <c r="CF19" i="8"/>
  <c r="CE19" i="8"/>
  <c r="CD19" i="8"/>
  <c r="CF15" i="8"/>
  <c r="CE15" i="8"/>
  <c r="CD15" i="8"/>
  <c r="EG23" i="8"/>
  <c r="EF19" i="8"/>
  <c r="EF15" i="8"/>
  <c r="EK19" i="8"/>
  <c r="EK15" i="8"/>
  <c r="ET19" i="8"/>
  <c r="ET15" i="8"/>
  <c r="EZ15" i="8"/>
  <c r="DE15" i="8"/>
  <c r="DG15" i="8" s="1"/>
  <c r="DI15" i="8" s="1"/>
  <c r="DK15" i="8" s="1"/>
  <c r="DM15" i="8" s="1"/>
  <c r="FA23" i="8"/>
  <c r="EF23" i="8" l="1"/>
  <c r="CF23" i="8"/>
  <c r="CF40" i="8"/>
  <c r="CE40" i="8"/>
  <c r="BP40" i="8"/>
  <c r="BV40" i="8"/>
  <c r="BX40" i="8" s="1"/>
  <c r="BQ40" i="8"/>
  <c r="BS40" i="8" s="1"/>
  <c r="BU40" i="8"/>
  <c r="CD23" i="8"/>
  <c r="BV23" i="8"/>
  <c r="BX23" i="8" s="1"/>
  <c r="BQ23" i="8"/>
  <c r="BS23" i="8" s="1"/>
  <c r="BT23" i="8"/>
  <c r="BP23" i="8"/>
  <c r="CE23" i="8"/>
  <c r="BU23" i="8"/>
  <c r="BO23" i="8"/>
  <c r="BO40" i="8"/>
  <c r="BT40" i="8"/>
  <c r="CD40" i="8"/>
  <c r="EK23" i="8"/>
  <c r="ET23" i="8"/>
  <c r="C22" i="6"/>
  <c r="C19" i="6"/>
  <c r="AM19" i="6" s="1"/>
  <c r="C34" i="7" l="1"/>
  <c r="V34" i="20" l="1"/>
  <c r="AE34" i="20"/>
  <c r="AF34" i="20"/>
  <c r="AL34" i="20"/>
  <c r="AY34" i="20"/>
  <c r="AZ34" i="20"/>
  <c r="BA34" i="20"/>
  <c r="BC34" i="20" s="1"/>
  <c r="BE34" i="20" s="1"/>
  <c r="BG34" i="20" s="1"/>
  <c r="C34" i="20"/>
  <c r="D34" i="15" l="1"/>
  <c r="H34" i="15"/>
  <c r="Q34" i="15"/>
  <c r="S34" i="15" s="1"/>
  <c r="U34" i="15" s="1"/>
  <c r="W34" i="15" s="1"/>
  <c r="Y34" i="15" s="1"/>
  <c r="R34" i="15"/>
  <c r="Z34" i="15"/>
  <c r="AA34" i="15"/>
  <c r="AI34" i="15"/>
  <c r="AJ34" i="15"/>
  <c r="AK34" i="15"/>
  <c r="AL34" i="15"/>
  <c r="AM34" i="15"/>
  <c r="AN34" i="15"/>
  <c r="C34" i="15"/>
  <c r="AB34" i="15" l="1"/>
  <c r="AD34" i="15" s="1"/>
  <c r="AF34" i="15" s="1"/>
  <c r="AH34" i="15" s="1"/>
  <c r="AO34" i="15"/>
  <c r="R29" i="15"/>
  <c r="Z29" i="15"/>
  <c r="I29" i="15"/>
  <c r="Q29" i="15"/>
  <c r="S29" i="15" s="1"/>
  <c r="U29" i="15" s="1"/>
  <c r="W29" i="15" s="1"/>
  <c r="Y29" i="15" s="1"/>
  <c r="R19" i="15"/>
  <c r="Z19" i="15"/>
  <c r="R15" i="15"/>
  <c r="Z15" i="15"/>
  <c r="I19" i="15"/>
  <c r="Q19" i="15"/>
  <c r="S19" i="15" s="1"/>
  <c r="U19" i="15" s="1"/>
  <c r="Q15" i="15"/>
  <c r="S15" i="15" s="1"/>
  <c r="U22" i="15" l="1"/>
  <c r="W22" i="15" s="1"/>
  <c r="Y22" i="15" s="1"/>
  <c r="W19" i="15"/>
  <c r="Y19" i="15" s="1"/>
  <c r="H34" i="16"/>
  <c r="Z34" i="41" l="1"/>
  <c r="AB34" i="41" s="1"/>
  <c r="Q34" i="41"/>
  <c r="S34" i="41" s="1"/>
  <c r="L34" i="41"/>
  <c r="N34" i="41" s="1"/>
  <c r="AK10" i="41"/>
  <c r="AM10" i="41" s="1"/>
  <c r="AK11" i="41"/>
  <c r="AM11" i="41" s="1"/>
  <c r="AK12" i="41"/>
  <c r="AM12" i="41" s="1"/>
  <c r="AK13" i="41"/>
  <c r="AM13" i="41" s="1"/>
  <c r="AK14" i="41"/>
  <c r="AM14" i="41" s="1"/>
  <c r="AK18" i="41"/>
  <c r="AM18" i="41" s="1"/>
  <c r="AK20" i="41"/>
  <c r="AM20" i="41" s="1"/>
  <c r="AK21" i="41"/>
  <c r="AM21" i="41" s="1"/>
  <c r="AK23" i="41"/>
  <c r="AM23" i="41" s="1"/>
  <c r="AK24" i="41"/>
  <c r="AM24" i="41" s="1"/>
  <c r="AK25" i="41"/>
  <c r="AM25" i="41" s="1"/>
  <c r="AK26" i="41"/>
  <c r="AM26" i="41" s="1"/>
  <c r="AK27" i="41"/>
  <c r="AM27" i="41" s="1"/>
  <c r="AK28" i="41"/>
  <c r="AM28" i="41" s="1"/>
  <c r="AK30" i="41"/>
  <c r="AM30" i="41" s="1"/>
  <c r="AK31" i="41"/>
  <c r="AM31" i="41" s="1"/>
  <c r="AK32" i="41"/>
  <c r="AM32" i="41" s="1"/>
  <c r="AK36" i="41"/>
  <c r="AM36" i="41" s="1"/>
  <c r="AK37" i="41"/>
  <c r="AM37" i="41" s="1"/>
  <c r="AK9" i="41"/>
  <c r="AM9" i="41" s="1"/>
  <c r="Z15" i="41"/>
  <c r="AB15" i="41" s="1"/>
  <c r="Z16" i="41"/>
  <c r="AB16" i="41" s="1"/>
  <c r="Z17" i="41"/>
  <c r="AB17" i="41" s="1"/>
  <c r="Z29" i="41"/>
  <c r="AB29" i="41" s="1"/>
  <c r="Z33" i="41"/>
  <c r="AB33" i="41" s="1"/>
  <c r="Q33" i="41"/>
  <c r="S33" i="41" s="1"/>
  <c r="Q29" i="41"/>
  <c r="S29" i="41" s="1"/>
  <c r="Q19" i="41"/>
  <c r="S19" i="41" s="1"/>
  <c r="Q15" i="41"/>
  <c r="S15" i="41" s="1"/>
  <c r="L33" i="41"/>
  <c r="N33" i="41" s="1"/>
  <c r="L29" i="41"/>
  <c r="N29" i="41" s="1"/>
  <c r="L17" i="41"/>
  <c r="N17" i="41" s="1"/>
  <c r="L16" i="41"/>
  <c r="L15" i="41"/>
  <c r="N15" i="41" s="1"/>
  <c r="L19" i="41" l="1"/>
  <c r="N19" i="41" s="1"/>
  <c r="N16" i="41"/>
  <c r="Q38" i="41"/>
  <c r="S38" i="41" s="1"/>
  <c r="AK16" i="41"/>
  <c r="AM16" i="41" s="1"/>
  <c r="Z19" i="41"/>
  <c r="AB19" i="41" s="1"/>
  <c r="L38" i="41"/>
  <c r="N38" i="41" s="1"/>
  <c r="Z38" i="41"/>
  <c r="AB38" i="41" s="1"/>
  <c r="AK34" i="41"/>
  <c r="AM34" i="41" s="1"/>
  <c r="Q22" i="41"/>
  <c r="S22" i="41" s="1"/>
  <c r="S34" i="19"/>
  <c r="C34" i="19"/>
  <c r="E34" i="19" s="1"/>
  <c r="AM10" i="19"/>
  <c r="AO10" i="19" s="1"/>
  <c r="AM11" i="19"/>
  <c r="AO11" i="19" s="1"/>
  <c r="AM12" i="19"/>
  <c r="AO12" i="19" s="1"/>
  <c r="AQ12" i="19" s="1"/>
  <c r="AM13" i="19"/>
  <c r="AO13" i="19" s="1"/>
  <c r="AQ13" i="19" s="1"/>
  <c r="AS13" i="19" s="1"/>
  <c r="AU13" i="19" s="1"/>
  <c r="AW13" i="19" s="1"/>
  <c r="AM14" i="19"/>
  <c r="AO14" i="19" s="1"/>
  <c r="AQ14" i="19" s="1"/>
  <c r="AS14" i="19" s="1"/>
  <c r="AU14" i="19" s="1"/>
  <c r="AW14" i="19" s="1"/>
  <c r="AM16" i="19"/>
  <c r="AO16" i="19" s="1"/>
  <c r="AM17" i="19"/>
  <c r="AO17" i="19" s="1"/>
  <c r="AQ17" i="19" s="1"/>
  <c r="AS17" i="19" s="1"/>
  <c r="AU17" i="19" s="1"/>
  <c r="AW17" i="19" s="1"/>
  <c r="AM18" i="19"/>
  <c r="AO18" i="19" s="1"/>
  <c r="AQ18" i="19" s="1"/>
  <c r="AS18" i="19" s="1"/>
  <c r="AU18" i="19" s="1"/>
  <c r="AW18" i="19" s="1"/>
  <c r="AM20" i="19"/>
  <c r="AO20" i="19" s="1"/>
  <c r="AQ20" i="19" s="1"/>
  <c r="AS20" i="19" s="1"/>
  <c r="AU20" i="19" s="1"/>
  <c r="AW20" i="19" s="1"/>
  <c r="AM21" i="19"/>
  <c r="AO21" i="19" s="1"/>
  <c r="AQ21" i="19" s="1"/>
  <c r="AS21" i="19" s="1"/>
  <c r="AU21" i="19" s="1"/>
  <c r="AW21" i="19" s="1"/>
  <c r="AM23" i="19"/>
  <c r="AO23" i="19" s="1"/>
  <c r="AQ23" i="19" s="1"/>
  <c r="AS23" i="19" s="1"/>
  <c r="AU23" i="19" s="1"/>
  <c r="AW23" i="19" s="1"/>
  <c r="AM24" i="19"/>
  <c r="AO24" i="19" s="1"/>
  <c r="AQ24" i="19" s="1"/>
  <c r="AS24" i="19" s="1"/>
  <c r="AU24" i="19" s="1"/>
  <c r="AW24" i="19" s="1"/>
  <c r="AM25" i="19"/>
  <c r="AO25" i="19" s="1"/>
  <c r="AQ25" i="19" s="1"/>
  <c r="AS25" i="19" s="1"/>
  <c r="AU25" i="19" s="1"/>
  <c r="AW25" i="19" s="1"/>
  <c r="AM26" i="19"/>
  <c r="AO26" i="19" s="1"/>
  <c r="AQ26" i="19" s="1"/>
  <c r="AS26" i="19" s="1"/>
  <c r="AU26" i="19" s="1"/>
  <c r="AW26" i="19" s="1"/>
  <c r="AM27" i="19"/>
  <c r="AO27" i="19" s="1"/>
  <c r="AQ27" i="19" s="1"/>
  <c r="AS27" i="19" s="1"/>
  <c r="AU27" i="19" s="1"/>
  <c r="AW27" i="19" s="1"/>
  <c r="AM28" i="19"/>
  <c r="AO28" i="19" s="1"/>
  <c r="AQ28" i="19" s="1"/>
  <c r="AS28" i="19" s="1"/>
  <c r="AU28" i="19" s="1"/>
  <c r="AW28" i="19" s="1"/>
  <c r="AM30" i="19"/>
  <c r="AO30" i="19" s="1"/>
  <c r="AQ30" i="19" s="1"/>
  <c r="AS30" i="19" s="1"/>
  <c r="AU30" i="19" s="1"/>
  <c r="AW30" i="19" s="1"/>
  <c r="AM31" i="19"/>
  <c r="AO31" i="19" s="1"/>
  <c r="AQ31" i="19" s="1"/>
  <c r="AS31" i="19" s="1"/>
  <c r="AU31" i="19" s="1"/>
  <c r="AW31" i="19" s="1"/>
  <c r="AM32" i="19"/>
  <c r="AO32" i="19" s="1"/>
  <c r="AQ32" i="19" s="1"/>
  <c r="AS32" i="19" s="1"/>
  <c r="AU32" i="19" s="1"/>
  <c r="AW32" i="19" s="1"/>
  <c r="AQ35" i="19"/>
  <c r="AS35" i="19" s="1"/>
  <c r="AU35" i="19" s="1"/>
  <c r="AW35" i="19" s="1"/>
  <c r="AM36" i="19"/>
  <c r="AM37" i="19"/>
  <c r="AO37" i="19" s="1"/>
  <c r="AQ37" i="19" s="1"/>
  <c r="AS37" i="19" s="1"/>
  <c r="AU37" i="19" s="1"/>
  <c r="AW37" i="19" s="1"/>
  <c r="AM9" i="19"/>
  <c r="AO9" i="19" s="1"/>
  <c r="AB33" i="19"/>
  <c r="AD33" i="19" s="1"/>
  <c r="AB29" i="19"/>
  <c r="AD29" i="19" s="1"/>
  <c r="AB19" i="19"/>
  <c r="AD19" i="19" s="1"/>
  <c r="S33" i="19"/>
  <c r="U33" i="19" s="1"/>
  <c r="S29" i="19"/>
  <c r="U29" i="19" s="1"/>
  <c r="S19" i="19"/>
  <c r="U19" i="19" s="1"/>
  <c r="L33" i="19"/>
  <c r="N33" i="19" s="1"/>
  <c r="L29" i="19"/>
  <c r="N29" i="19" s="1"/>
  <c r="L19" i="19"/>
  <c r="N19" i="19" s="1"/>
  <c r="L15" i="19"/>
  <c r="C15" i="19"/>
  <c r="E15" i="19" s="1"/>
  <c r="Z22" i="41" l="1"/>
  <c r="AB22" i="41" s="1"/>
  <c r="L22" i="19"/>
  <c r="N22" i="19" s="1"/>
  <c r="N15" i="19"/>
  <c r="AS12" i="19"/>
  <c r="AU12" i="19" s="1"/>
  <c r="AW12" i="19" s="1"/>
  <c r="AQ15" i="19"/>
  <c r="L22" i="41"/>
  <c r="N22" i="41" s="1"/>
  <c r="L38" i="19"/>
  <c r="N38" i="19" s="1"/>
  <c r="AB38" i="19"/>
  <c r="AM34" i="19"/>
  <c r="AQ34" i="19" s="1"/>
  <c r="AS34" i="19" s="1"/>
  <c r="AU34" i="19" s="1"/>
  <c r="AW34" i="19" s="1"/>
  <c r="S38" i="19"/>
  <c r="D34" i="42"/>
  <c r="O34" i="42"/>
  <c r="P34" i="42"/>
  <c r="W34" i="42"/>
  <c r="X34" i="42"/>
  <c r="AC10" i="42"/>
  <c r="AF10" i="42" s="1"/>
  <c r="AC11" i="42"/>
  <c r="AF11" i="42" s="1"/>
  <c r="AC12" i="42"/>
  <c r="AF12" i="42" s="1"/>
  <c r="AH12" i="42" s="1"/>
  <c r="AJ12" i="42" s="1"/>
  <c r="AL12" i="42" s="1"/>
  <c r="AN12" i="42" s="1"/>
  <c r="AC13" i="42"/>
  <c r="AF13" i="42" s="1"/>
  <c r="AH13" i="42" s="1"/>
  <c r="AJ13" i="42" s="1"/>
  <c r="AL13" i="42" s="1"/>
  <c r="AN13" i="42" s="1"/>
  <c r="AC14" i="42"/>
  <c r="AF14" i="42" s="1"/>
  <c r="AH14" i="42" s="1"/>
  <c r="AJ14" i="42" s="1"/>
  <c r="AL14" i="42" s="1"/>
  <c r="AN14" i="42" s="1"/>
  <c r="AC16" i="42"/>
  <c r="AF16" i="42" s="1"/>
  <c r="AC18" i="42"/>
  <c r="AF18" i="42" s="1"/>
  <c r="AH18" i="42" s="1"/>
  <c r="AJ18" i="42" s="1"/>
  <c r="AL18" i="42" s="1"/>
  <c r="AN18" i="42" s="1"/>
  <c r="AC20" i="42"/>
  <c r="AF20" i="42" s="1"/>
  <c r="AH20" i="42" s="1"/>
  <c r="AJ20" i="42" s="1"/>
  <c r="AL20" i="42" s="1"/>
  <c r="AN20" i="42" s="1"/>
  <c r="AC21" i="42"/>
  <c r="AF21" i="42" s="1"/>
  <c r="AH21" i="42" s="1"/>
  <c r="AJ21" i="42" s="1"/>
  <c r="AL21" i="42" s="1"/>
  <c r="AN21" i="42" s="1"/>
  <c r="AC23" i="42"/>
  <c r="AF23" i="42" s="1"/>
  <c r="AH23" i="42" s="1"/>
  <c r="AJ23" i="42" s="1"/>
  <c r="AL23" i="42" s="1"/>
  <c r="AN23" i="42" s="1"/>
  <c r="AC24" i="42"/>
  <c r="AF24" i="42" s="1"/>
  <c r="AH24" i="42" s="1"/>
  <c r="AJ24" i="42" s="1"/>
  <c r="AL24" i="42" s="1"/>
  <c r="AN24" i="42" s="1"/>
  <c r="AC25" i="42"/>
  <c r="AF25" i="42" s="1"/>
  <c r="AH25" i="42" s="1"/>
  <c r="AJ25" i="42" s="1"/>
  <c r="AL25" i="42" s="1"/>
  <c r="AN25" i="42" s="1"/>
  <c r="AC26" i="42"/>
  <c r="AF26" i="42" s="1"/>
  <c r="AH26" i="42" s="1"/>
  <c r="AJ26" i="42" s="1"/>
  <c r="AL26" i="42" s="1"/>
  <c r="AN26" i="42" s="1"/>
  <c r="AC28" i="42"/>
  <c r="AF28" i="42" s="1"/>
  <c r="AH28" i="42" s="1"/>
  <c r="AJ28" i="42" s="1"/>
  <c r="AL28" i="42" s="1"/>
  <c r="AN28" i="42" s="1"/>
  <c r="AC30" i="42"/>
  <c r="AF30" i="42" s="1"/>
  <c r="AH30" i="42" s="1"/>
  <c r="AJ30" i="42" s="1"/>
  <c r="AL30" i="42" s="1"/>
  <c r="AN30" i="42" s="1"/>
  <c r="AC31" i="42"/>
  <c r="AF31" i="42" s="1"/>
  <c r="AH31" i="42" s="1"/>
  <c r="AJ31" i="42" s="1"/>
  <c r="AL31" i="42" s="1"/>
  <c r="AN31" i="42" s="1"/>
  <c r="AC32" i="42"/>
  <c r="AF32" i="42" s="1"/>
  <c r="AH32" i="42" s="1"/>
  <c r="AJ32" i="42" s="1"/>
  <c r="AL32" i="42" s="1"/>
  <c r="AN32" i="42" s="1"/>
  <c r="AC35" i="42"/>
  <c r="AC36" i="42"/>
  <c r="AF36" i="42" s="1"/>
  <c r="AC37" i="42"/>
  <c r="AF37" i="42" s="1"/>
  <c r="AH37" i="42" s="1"/>
  <c r="AJ37" i="42" s="1"/>
  <c r="AL37" i="42" s="1"/>
  <c r="AN37" i="42" s="1"/>
  <c r="AC9" i="42"/>
  <c r="W33" i="42"/>
  <c r="Z33" i="42" s="1"/>
  <c r="AB33" i="42" s="1"/>
  <c r="W19" i="42"/>
  <c r="Z19" i="42" s="1"/>
  <c r="AB19" i="42" s="1"/>
  <c r="W15" i="42"/>
  <c r="Z15" i="42" s="1"/>
  <c r="R34" i="42" l="1"/>
  <c r="P38" i="42"/>
  <c r="D38" i="42"/>
  <c r="AD38" i="42" s="1"/>
  <c r="AD34" i="42"/>
  <c r="Z34" i="42"/>
  <c r="AQ22" i="19"/>
  <c r="AS22" i="19" s="1"/>
  <c r="AU22" i="19" s="1"/>
  <c r="AW22" i="19" s="1"/>
  <c r="AS15" i="19"/>
  <c r="AU15" i="19" s="1"/>
  <c r="AW15" i="19" s="1"/>
  <c r="AC34" i="42"/>
  <c r="W38" i="42"/>
  <c r="Z38" i="42" s="1"/>
  <c r="W22" i="42"/>
  <c r="Z22" i="42" s="1"/>
  <c r="C15" i="42"/>
  <c r="F15" i="42" s="1"/>
  <c r="BH35" i="20" l="1"/>
  <c r="C19" i="7" l="1"/>
  <c r="AM39" i="6" l="1"/>
  <c r="EZ19" i="8"/>
  <c r="EZ23" i="8" s="1"/>
  <c r="FM19" i="8"/>
  <c r="FM23" i="8" s="1"/>
  <c r="C15" i="7"/>
  <c r="C22" i="7" s="1"/>
  <c r="C29" i="7" l="1"/>
  <c r="BH36" i="20"/>
  <c r="O40" i="6" s="1"/>
  <c r="AM40" i="6" s="1"/>
  <c r="C33" i="41" l="1"/>
  <c r="E33" i="41" s="1"/>
  <c r="C29" i="41"/>
  <c r="C17" i="41"/>
  <c r="AK29" i="41" l="1"/>
  <c r="AM29" i="41" s="1"/>
  <c r="E29" i="41"/>
  <c r="AK17" i="41"/>
  <c r="AM17" i="41" s="1"/>
  <c r="E17" i="41"/>
  <c r="AK33" i="41"/>
  <c r="AM33" i="41" s="1"/>
  <c r="C38" i="41"/>
  <c r="E38" i="41" s="1"/>
  <c r="C19" i="41"/>
  <c r="C15" i="41"/>
  <c r="AK15" i="41" l="1"/>
  <c r="AM15" i="41" s="1"/>
  <c r="E15" i="41"/>
  <c r="AK19" i="41"/>
  <c r="AM19" i="41" s="1"/>
  <c r="E19" i="41"/>
  <c r="C22" i="41"/>
  <c r="C33" i="19"/>
  <c r="C29" i="19"/>
  <c r="AM33" i="19" l="1"/>
  <c r="AO33" i="19" s="1"/>
  <c r="AQ33" i="19" s="1"/>
  <c r="AS33" i="19" s="1"/>
  <c r="AU33" i="19" s="1"/>
  <c r="AW33" i="19" s="1"/>
  <c r="E33" i="19"/>
  <c r="AM29" i="19"/>
  <c r="AO29" i="19" s="1"/>
  <c r="AQ29" i="19" s="1"/>
  <c r="AS29" i="19" s="1"/>
  <c r="AU29" i="19" s="1"/>
  <c r="AW29" i="19" s="1"/>
  <c r="E29" i="19"/>
  <c r="AK22" i="41"/>
  <c r="AM22" i="41" s="1"/>
  <c r="E22" i="41"/>
  <c r="C19" i="19"/>
  <c r="AM19" i="19" l="1"/>
  <c r="AO19" i="19" s="1"/>
  <c r="E19" i="19"/>
  <c r="C22" i="19"/>
  <c r="E22" i="19" s="1"/>
  <c r="AK38" i="41"/>
  <c r="AM38" i="41" s="1"/>
  <c r="O33" i="42"/>
  <c r="R33" i="42" s="1"/>
  <c r="C33" i="42"/>
  <c r="C27" i="42"/>
  <c r="F27" i="42" s="1"/>
  <c r="C17" i="42"/>
  <c r="AC33" i="42" l="1"/>
  <c r="AF33" i="42" s="1"/>
  <c r="AH33" i="42" s="1"/>
  <c r="AJ33" i="42" s="1"/>
  <c r="AL33" i="42" s="1"/>
  <c r="AN33" i="42" s="1"/>
  <c r="F33" i="42"/>
  <c r="AC17" i="42"/>
  <c r="AF17" i="42" s="1"/>
  <c r="AH17" i="42" s="1"/>
  <c r="AJ17" i="42" s="1"/>
  <c r="AL17" i="42" s="1"/>
  <c r="AN17" i="42" s="1"/>
  <c r="F17" i="42"/>
  <c r="C38" i="19"/>
  <c r="C29" i="42"/>
  <c r="AC27" i="42"/>
  <c r="AF27" i="42" s="1"/>
  <c r="AH27" i="42" s="1"/>
  <c r="AJ27" i="42" s="1"/>
  <c r="AL27" i="42" s="1"/>
  <c r="AN27" i="42" s="1"/>
  <c r="O15" i="42"/>
  <c r="O19" i="42"/>
  <c r="R19" i="42" s="1"/>
  <c r="C19" i="42"/>
  <c r="D33" i="20"/>
  <c r="E33" i="20"/>
  <c r="G33" i="20" s="1"/>
  <c r="I33" i="20" s="1"/>
  <c r="K33" i="20" s="1"/>
  <c r="M33" i="20" s="1"/>
  <c r="V33" i="20"/>
  <c r="W33" i="20"/>
  <c r="AE33" i="20"/>
  <c r="AF33" i="20"/>
  <c r="AL33" i="20"/>
  <c r="AM33" i="20"/>
  <c r="AN33" i="20"/>
  <c r="AP33" i="20" s="1"/>
  <c r="AR33" i="20" s="1"/>
  <c r="AY33" i="20"/>
  <c r="AZ33" i="20"/>
  <c r="BA33" i="20"/>
  <c r="BC33" i="20" s="1"/>
  <c r="BE33" i="20" s="1"/>
  <c r="BG33" i="20" s="1"/>
  <c r="C33" i="20"/>
  <c r="D29" i="20"/>
  <c r="E29" i="20"/>
  <c r="G29" i="20" s="1"/>
  <c r="I29" i="20" s="1"/>
  <c r="K29" i="20" s="1"/>
  <c r="M29" i="20" s="1"/>
  <c r="W29" i="20"/>
  <c r="AF29" i="20"/>
  <c r="AM29" i="20"/>
  <c r="AN29" i="20"/>
  <c r="AP29" i="20" s="1"/>
  <c r="AR29" i="20" s="1"/>
  <c r="AZ29" i="20"/>
  <c r="BA29" i="20"/>
  <c r="BC29" i="20" s="1"/>
  <c r="BE29" i="20" s="1"/>
  <c r="BG29" i="20" s="1"/>
  <c r="BH12" i="20"/>
  <c r="BH13" i="20"/>
  <c r="BH14" i="20"/>
  <c r="BH18" i="20"/>
  <c r="BH20" i="20"/>
  <c r="BH21" i="20"/>
  <c r="BH23" i="20"/>
  <c r="BH25" i="20"/>
  <c r="BH26" i="20"/>
  <c r="BH28" i="20"/>
  <c r="BH30" i="20"/>
  <c r="BH31" i="20"/>
  <c r="BH32" i="20"/>
  <c r="D19" i="20"/>
  <c r="E19" i="20"/>
  <c r="W19" i="20"/>
  <c r="AF19" i="20"/>
  <c r="AM19" i="20"/>
  <c r="AN19" i="20"/>
  <c r="AP19" i="20" s="1"/>
  <c r="AR19" i="20" s="1"/>
  <c r="AY19" i="20"/>
  <c r="AZ19" i="20"/>
  <c r="BA19" i="20"/>
  <c r="BC19" i="20" s="1"/>
  <c r="BE19" i="20" s="1"/>
  <c r="BG19" i="20" s="1"/>
  <c r="D15" i="20"/>
  <c r="E15" i="20"/>
  <c r="W15" i="20"/>
  <c r="AF15" i="20"/>
  <c r="AM15" i="20"/>
  <c r="AN15" i="20"/>
  <c r="AP15" i="20" s="1"/>
  <c r="AR15" i="20" s="1"/>
  <c r="AZ15" i="20"/>
  <c r="BA15" i="20"/>
  <c r="BC15" i="20" s="1"/>
  <c r="BE15" i="20" s="1"/>
  <c r="BG15" i="20" s="1"/>
  <c r="BH24" i="20"/>
  <c r="AC15" i="42" l="1"/>
  <c r="R15" i="42"/>
  <c r="X33" i="20"/>
  <c r="AQ38" i="19"/>
  <c r="AS38" i="19" s="1"/>
  <c r="AU38" i="19" s="1"/>
  <c r="AW38" i="19" s="1"/>
  <c r="E38" i="19"/>
  <c r="AG33" i="20"/>
  <c r="AI33" i="20" s="1"/>
  <c r="AK33" i="20" s="1"/>
  <c r="BI33" i="20"/>
  <c r="BI19" i="20"/>
  <c r="BI15" i="20"/>
  <c r="AC19" i="42"/>
  <c r="AF19" i="42" s="1"/>
  <c r="F19" i="42"/>
  <c r="AC29" i="42"/>
  <c r="AF29" i="42" s="1"/>
  <c r="AH29" i="42" s="1"/>
  <c r="AJ29" i="42" s="1"/>
  <c r="AL29" i="42" s="1"/>
  <c r="AN29" i="42" s="1"/>
  <c r="F29" i="42"/>
  <c r="BI29" i="20"/>
  <c r="AZ22" i="20"/>
  <c r="BA38" i="20"/>
  <c r="BC38" i="20" s="1"/>
  <c r="BE38" i="20" s="1"/>
  <c r="BG38" i="20" s="1"/>
  <c r="AL38" i="20"/>
  <c r="AZ38" i="20"/>
  <c r="AF38" i="20"/>
  <c r="E22" i="20"/>
  <c r="AF22" i="20"/>
  <c r="D22" i="20"/>
  <c r="BA22" i="20"/>
  <c r="BC22" i="20" s="1"/>
  <c r="BE22" i="20" s="1"/>
  <c r="BG22" i="20" s="1"/>
  <c r="AM22" i="20"/>
  <c r="W22" i="20"/>
  <c r="BH33" i="20"/>
  <c r="O22" i="42"/>
  <c r="R22" i="42" s="1"/>
  <c r="AE19" i="20"/>
  <c r="AG19" i="20" s="1"/>
  <c r="AI19" i="20" s="1"/>
  <c r="AK19" i="20" s="1"/>
  <c r="V19" i="20"/>
  <c r="BH9" i="20"/>
  <c r="C19" i="20"/>
  <c r="AL15" i="20"/>
  <c r="BH16" i="20"/>
  <c r="BH10" i="20"/>
  <c r="AY15" i="20"/>
  <c r="AY22" i="20" s="1"/>
  <c r="C38" i="20"/>
  <c r="AY29" i="20"/>
  <c r="BH29" i="20" s="1"/>
  <c r="AE15" i="20"/>
  <c r="V15" i="20"/>
  <c r="X15" i="20" s="1"/>
  <c r="BH11" i="20"/>
  <c r="AL19" i="20"/>
  <c r="C15" i="20"/>
  <c r="BH27" i="20"/>
  <c r="BH17" i="20"/>
  <c r="V38" i="20"/>
  <c r="AE38" i="20"/>
  <c r="C22" i="42"/>
  <c r="F22" i="42" s="1"/>
  <c r="BH34" i="20"/>
  <c r="BJ33" i="20" l="1"/>
  <c r="BL33" i="20" s="1"/>
  <c r="BN33" i="20" s="1"/>
  <c r="BP33" i="20" s="1"/>
  <c r="BR33" i="20" s="1"/>
  <c r="BI22" i="20"/>
  <c r="AC22" i="42"/>
  <c r="BI38" i="20"/>
  <c r="V22" i="20"/>
  <c r="X22" i="20" s="1"/>
  <c r="AE22" i="20"/>
  <c r="AY38" i="20"/>
  <c r="BH38" i="20" s="1"/>
  <c r="AL22" i="20"/>
  <c r="BH19" i="20"/>
  <c r="BH15" i="20"/>
  <c r="C22" i="20"/>
  <c r="C33" i="16"/>
  <c r="E33" i="16" s="1"/>
  <c r="H14" i="16"/>
  <c r="J14" i="16" s="1"/>
  <c r="L14" i="16" s="1"/>
  <c r="H20" i="16"/>
  <c r="J20" i="16" s="1"/>
  <c r="L20" i="16" s="1"/>
  <c r="H21" i="16"/>
  <c r="J21" i="16" s="1"/>
  <c r="L21" i="16" s="1"/>
  <c r="H25" i="16"/>
  <c r="J25" i="16" s="1"/>
  <c r="L25" i="16" s="1"/>
  <c r="H26" i="16"/>
  <c r="J26" i="16" s="1"/>
  <c r="L26" i="16" s="1"/>
  <c r="H28" i="16"/>
  <c r="J28" i="16" s="1"/>
  <c r="L28" i="16" s="1"/>
  <c r="H30" i="16"/>
  <c r="J30" i="16" s="1"/>
  <c r="L30" i="16" s="1"/>
  <c r="H31" i="16"/>
  <c r="J31" i="16" s="1"/>
  <c r="L31" i="16" s="1"/>
  <c r="H32" i="16"/>
  <c r="J32" i="16" s="1"/>
  <c r="L32" i="16" s="1"/>
  <c r="H37" i="16"/>
  <c r="J37" i="16" s="1"/>
  <c r="L37" i="16" s="1"/>
  <c r="C24" i="16"/>
  <c r="C18" i="16"/>
  <c r="C17" i="16"/>
  <c r="H13" i="16"/>
  <c r="J13" i="16" s="1"/>
  <c r="L13" i="16" s="1"/>
  <c r="H12" i="16"/>
  <c r="J12" i="16" s="1"/>
  <c r="L12" i="16" s="1"/>
  <c r="H11" i="16"/>
  <c r="H9" i="16"/>
  <c r="J9" i="16" s="1"/>
  <c r="L9" i="16" s="1"/>
  <c r="H17" i="16" l="1"/>
  <c r="J17" i="16" s="1"/>
  <c r="L17" i="16" s="1"/>
  <c r="E17" i="16"/>
  <c r="H18" i="16"/>
  <c r="J18" i="16" s="1"/>
  <c r="L18" i="16" s="1"/>
  <c r="E18" i="16"/>
  <c r="C29" i="16"/>
  <c r="E29" i="16" s="1"/>
  <c r="E24" i="16"/>
  <c r="H33" i="16"/>
  <c r="J33" i="16" s="1"/>
  <c r="L33" i="16" s="1"/>
  <c r="BH22" i="20"/>
  <c r="C15" i="16"/>
  <c r="C19" i="16"/>
  <c r="H24" i="16"/>
  <c r="C34" i="42"/>
  <c r="F34" i="42" s="1"/>
  <c r="O38" i="42"/>
  <c r="R38" i="42" s="1"/>
  <c r="H10" i="16"/>
  <c r="J10" i="16" s="1"/>
  <c r="L10" i="16" s="1"/>
  <c r="H16" i="16"/>
  <c r="J16" i="16" s="1"/>
  <c r="L16" i="16" s="1"/>
  <c r="H15" i="16" l="1"/>
  <c r="E15" i="16"/>
  <c r="H29" i="16"/>
  <c r="J29" i="16" s="1"/>
  <c r="L29" i="16" s="1"/>
  <c r="J24" i="16"/>
  <c r="L24" i="16" s="1"/>
  <c r="H19" i="16"/>
  <c r="J19" i="16" s="1"/>
  <c r="L19" i="16" s="1"/>
  <c r="E19" i="16"/>
  <c r="C38" i="16"/>
  <c r="E38" i="16" s="1"/>
  <c r="C22" i="16"/>
  <c r="E22" i="16" s="1"/>
  <c r="C38" i="42"/>
  <c r="F38" i="42" s="1"/>
  <c r="D33" i="15"/>
  <c r="H33" i="15"/>
  <c r="H38" i="15" s="1"/>
  <c r="I33" i="15"/>
  <c r="J33" i="15"/>
  <c r="L33" i="15" s="1"/>
  <c r="N33" i="15" s="1"/>
  <c r="P33" i="15" s="1"/>
  <c r="Q33" i="15"/>
  <c r="R33" i="15"/>
  <c r="Z33" i="15"/>
  <c r="AA33" i="15"/>
  <c r="AI33" i="15"/>
  <c r="AJ33" i="15"/>
  <c r="AK33" i="15"/>
  <c r="AL33" i="15"/>
  <c r="AM33" i="15"/>
  <c r="AN33" i="15"/>
  <c r="C33" i="15"/>
  <c r="D29" i="15"/>
  <c r="AA29" i="15"/>
  <c r="AB29" i="15" s="1"/>
  <c r="AD29" i="15" s="1"/>
  <c r="AF29" i="15" s="1"/>
  <c r="AH29" i="15" s="1"/>
  <c r="AJ29" i="15"/>
  <c r="AK29" i="15"/>
  <c r="AM29" i="15"/>
  <c r="AN29" i="15"/>
  <c r="D19" i="15"/>
  <c r="AA19" i="15"/>
  <c r="AB19" i="15" s="1"/>
  <c r="AD19" i="15" s="1"/>
  <c r="AF19" i="15" s="1"/>
  <c r="AH19" i="15" s="1"/>
  <c r="AI19" i="15"/>
  <c r="AJ19" i="15"/>
  <c r="AK19" i="15"/>
  <c r="AL19" i="15"/>
  <c r="AM19" i="15"/>
  <c r="AN19" i="15"/>
  <c r="D15" i="15"/>
  <c r="AA15" i="15"/>
  <c r="AB15" i="15" s="1"/>
  <c r="AI15" i="15"/>
  <c r="AJ15" i="15"/>
  <c r="AK15" i="15"/>
  <c r="AL15" i="15"/>
  <c r="AM15" i="15"/>
  <c r="AN15" i="15"/>
  <c r="H38" i="16" l="1"/>
  <c r="H22" i="16"/>
  <c r="AP15" i="15"/>
  <c r="AQ15" i="15"/>
  <c r="AS15" i="15" s="1"/>
  <c r="AU15" i="15" s="1"/>
  <c r="AW15" i="15" s="1"/>
  <c r="AD15" i="15"/>
  <c r="AF15" i="15" s="1"/>
  <c r="AH15" i="15" s="1"/>
  <c r="AP19" i="15"/>
  <c r="Z38" i="15"/>
  <c r="AB33" i="15"/>
  <c r="AD33" i="15" s="1"/>
  <c r="AF33" i="15" s="1"/>
  <c r="AH33" i="15" s="1"/>
  <c r="Q38" i="15"/>
  <c r="S38" i="15" s="1"/>
  <c r="U38" i="15" s="1"/>
  <c r="W38" i="15" s="1"/>
  <c r="Y38" i="15" s="1"/>
  <c r="S33" i="15"/>
  <c r="U33" i="15" s="1"/>
  <c r="W33" i="15" s="1"/>
  <c r="Y33" i="15" s="1"/>
  <c r="AP33" i="15"/>
  <c r="E33" i="15"/>
  <c r="G33" i="15" s="1"/>
  <c r="AC38" i="42"/>
  <c r="AK22" i="15"/>
  <c r="AA22" i="15"/>
  <c r="I22" i="15"/>
  <c r="AN22" i="15"/>
  <c r="AJ22" i="15"/>
  <c r="AA38" i="15"/>
  <c r="R38" i="15"/>
  <c r="D38" i="15"/>
  <c r="AM22" i="15"/>
  <c r="AI22" i="15"/>
  <c r="R22" i="15"/>
  <c r="D22" i="15"/>
  <c r="AK38" i="15"/>
  <c r="AL22" i="15"/>
  <c r="AM38" i="15"/>
  <c r="AN38" i="15"/>
  <c r="AJ38" i="15"/>
  <c r="AO37" i="15"/>
  <c r="O41" i="6" s="1"/>
  <c r="R41" i="6" s="1"/>
  <c r="AO12" i="15"/>
  <c r="AO13" i="15"/>
  <c r="O15" i="6" s="1"/>
  <c r="R15" i="6" s="1"/>
  <c r="T15" i="6" s="1"/>
  <c r="V15" i="6" s="1"/>
  <c r="X15" i="6" s="1"/>
  <c r="Z15" i="6" s="1"/>
  <c r="AO14" i="15"/>
  <c r="O16" i="6" s="1"/>
  <c r="R16" i="6" s="1"/>
  <c r="T16" i="6" s="1"/>
  <c r="V16" i="6" s="1"/>
  <c r="X16" i="6" s="1"/>
  <c r="Z16" i="6" s="1"/>
  <c r="AO17" i="15"/>
  <c r="AO18" i="15"/>
  <c r="O20" i="6" s="1"/>
  <c r="R20" i="6" s="1"/>
  <c r="AO20" i="15"/>
  <c r="O22" i="6" s="1"/>
  <c r="R22" i="6" s="1"/>
  <c r="T22" i="6" s="1"/>
  <c r="V22" i="6" s="1"/>
  <c r="X22" i="6" s="1"/>
  <c r="Z22" i="6" s="1"/>
  <c r="AO21" i="15"/>
  <c r="O23" i="6" s="1"/>
  <c r="AO23" i="15"/>
  <c r="AO25" i="15"/>
  <c r="O29" i="6" s="1"/>
  <c r="R29" i="6" s="1"/>
  <c r="AO26" i="15"/>
  <c r="O30" i="6" s="1"/>
  <c r="R30" i="6" s="1"/>
  <c r="AO28" i="15"/>
  <c r="O32" i="6" s="1"/>
  <c r="R32" i="6" s="1"/>
  <c r="AO30" i="15"/>
  <c r="O34" i="6" s="1"/>
  <c r="R34" i="6" s="1"/>
  <c r="AO31" i="15"/>
  <c r="O35" i="6" s="1"/>
  <c r="R35" i="6" s="1"/>
  <c r="AO32" i="15"/>
  <c r="O36" i="6" s="1"/>
  <c r="R36" i="6" s="1"/>
  <c r="AO33" i="15"/>
  <c r="O37" i="6" s="1"/>
  <c r="R37" i="6" s="1"/>
  <c r="AL29" i="15"/>
  <c r="AL38" i="15" s="1"/>
  <c r="AP32" i="6" l="1"/>
  <c r="AR32" i="6" s="1"/>
  <c r="AT32" i="6" s="1"/>
  <c r="AV32" i="6" s="1"/>
  <c r="AX32" i="6" s="1"/>
  <c r="T32" i="6"/>
  <c r="V32" i="6" s="1"/>
  <c r="X32" i="6" s="1"/>
  <c r="Z32" i="6" s="1"/>
  <c r="AP36" i="6"/>
  <c r="AR36" i="6" s="1"/>
  <c r="AT36" i="6" s="1"/>
  <c r="AV36" i="6" s="1"/>
  <c r="AX36" i="6" s="1"/>
  <c r="T36" i="6"/>
  <c r="V36" i="6" s="1"/>
  <c r="X36" i="6" s="1"/>
  <c r="Z36" i="6" s="1"/>
  <c r="AP30" i="6"/>
  <c r="AR30" i="6" s="1"/>
  <c r="AT30" i="6" s="1"/>
  <c r="AV30" i="6" s="1"/>
  <c r="AX30" i="6" s="1"/>
  <c r="T30" i="6"/>
  <c r="V30" i="6" s="1"/>
  <c r="X30" i="6" s="1"/>
  <c r="Z30" i="6" s="1"/>
  <c r="AP20" i="6"/>
  <c r="AR20" i="6" s="1"/>
  <c r="AT20" i="6" s="1"/>
  <c r="AV20" i="6" s="1"/>
  <c r="AX20" i="6" s="1"/>
  <c r="T20" i="6"/>
  <c r="V20" i="6" s="1"/>
  <c r="X20" i="6" s="1"/>
  <c r="Z20" i="6" s="1"/>
  <c r="AP37" i="6"/>
  <c r="AR37" i="6" s="1"/>
  <c r="T37" i="6"/>
  <c r="V37" i="6" s="1"/>
  <c r="X37" i="6" s="1"/>
  <c r="Z37" i="6" s="1"/>
  <c r="AP35" i="6"/>
  <c r="AR35" i="6" s="1"/>
  <c r="AT35" i="6" s="1"/>
  <c r="AV35" i="6" s="1"/>
  <c r="AX35" i="6" s="1"/>
  <c r="T35" i="6"/>
  <c r="V35" i="6" s="1"/>
  <c r="X35" i="6" s="1"/>
  <c r="Z35" i="6" s="1"/>
  <c r="AP29" i="6"/>
  <c r="AR29" i="6" s="1"/>
  <c r="AT29" i="6" s="1"/>
  <c r="AV29" i="6" s="1"/>
  <c r="AX29" i="6" s="1"/>
  <c r="T29" i="6"/>
  <c r="V29" i="6" s="1"/>
  <c r="X29" i="6" s="1"/>
  <c r="Z29" i="6" s="1"/>
  <c r="AP34" i="6"/>
  <c r="AR34" i="6" s="1"/>
  <c r="AT34" i="6" s="1"/>
  <c r="AV34" i="6" s="1"/>
  <c r="AX34" i="6" s="1"/>
  <c r="T34" i="6"/>
  <c r="V34" i="6" s="1"/>
  <c r="X34" i="6" s="1"/>
  <c r="Z34" i="6" s="1"/>
  <c r="AP41" i="6"/>
  <c r="AR41" i="6" s="1"/>
  <c r="AT41" i="6" s="1"/>
  <c r="AV41" i="6" s="1"/>
  <c r="AX41" i="6" s="1"/>
  <c r="T41" i="6"/>
  <c r="V41" i="6" s="1"/>
  <c r="X41" i="6" s="1"/>
  <c r="Z41" i="6" s="1"/>
  <c r="AP22" i="15"/>
  <c r="AQ33" i="15"/>
  <c r="AS33" i="15" s="1"/>
  <c r="AU33" i="15" s="1"/>
  <c r="AW33" i="15" s="1"/>
  <c r="AP38" i="15"/>
  <c r="AB38" i="15"/>
  <c r="R23" i="6"/>
  <c r="AM22" i="6"/>
  <c r="AP22" i="6"/>
  <c r="AR22" i="6" s="1"/>
  <c r="AT22" i="6" s="1"/>
  <c r="AV22" i="6" s="1"/>
  <c r="AX22" i="6" s="1"/>
  <c r="AI29" i="15"/>
  <c r="AI38" i="15" s="1"/>
  <c r="C24" i="15"/>
  <c r="E24" i="15" s="1"/>
  <c r="H19" i="15"/>
  <c r="C16" i="15"/>
  <c r="E16" i="15" s="1"/>
  <c r="AQ16" i="15" l="1"/>
  <c r="AS16" i="15" s="1"/>
  <c r="AU16" i="15" s="1"/>
  <c r="AW16" i="15" s="1"/>
  <c r="G16" i="15"/>
  <c r="AQ24" i="15"/>
  <c r="AS24" i="15" s="1"/>
  <c r="AU24" i="15" s="1"/>
  <c r="AW24" i="15" s="1"/>
  <c r="G24" i="15"/>
  <c r="AQ38" i="15"/>
  <c r="AS38" i="15" s="1"/>
  <c r="AU38" i="15" s="1"/>
  <c r="AW38" i="15" s="1"/>
  <c r="AD38" i="15"/>
  <c r="AF38" i="15" s="1"/>
  <c r="AH38" i="15" s="1"/>
  <c r="AP23" i="6"/>
  <c r="AR23" i="6" s="1"/>
  <c r="AT23" i="6" s="1"/>
  <c r="AV23" i="6" s="1"/>
  <c r="AX23" i="6" s="1"/>
  <c r="T23" i="6"/>
  <c r="V23" i="6" s="1"/>
  <c r="X23" i="6" s="1"/>
  <c r="Z23" i="6" s="1"/>
  <c r="H15" i="15"/>
  <c r="AO10" i="15"/>
  <c r="O12" i="6" s="1"/>
  <c r="AO11" i="15"/>
  <c r="O13" i="6" s="1"/>
  <c r="C15" i="15"/>
  <c r="AO9" i="15"/>
  <c r="O11" i="6" s="1"/>
  <c r="C19" i="15"/>
  <c r="E19" i="15" s="1"/>
  <c r="G19" i="15" s="1"/>
  <c r="AO16" i="15"/>
  <c r="O18" i="6" s="1"/>
  <c r="C29" i="15"/>
  <c r="E29" i="15" s="1"/>
  <c r="G29" i="15" s="1"/>
  <c r="AO24" i="15"/>
  <c r="O28" i="6" s="1"/>
  <c r="Z22" i="15"/>
  <c r="AB22" i="15" s="1"/>
  <c r="AD22" i="15" s="1"/>
  <c r="AF22" i="15" s="1"/>
  <c r="AH22" i="15" s="1"/>
  <c r="AO27" i="15"/>
  <c r="O31" i="6" s="1"/>
  <c r="R31" i="6" s="1"/>
  <c r="Q22" i="15"/>
  <c r="S22" i="15" s="1"/>
  <c r="H22" i="15"/>
  <c r="D35" i="8"/>
  <c r="F35" i="8"/>
  <c r="H35" i="8" s="1"/>
  <c r="J35" i="8" s="1"/>
  <c r="L35" i="8" s="1"/>
  <c r="N35" i="8" s="1"/>
  <c r="O35" i="8"/>
  <c r="P35" i="8"/>
  <c r="Q35" i="8"/>
  <c r="S35" i="8" s="1"/>
  <c r="U35" i="8" s="1"/>
  <c r="W35" i="8" s="1"/>
  <c r="Y35" i="8" s="1"/>
  <c r="Z35" i="8"/>
  <c r="AA35" i="8"/>
  <c r="AB35" i="8"/>
  <c r="AD35" i="8" s="1"/>
  <c r="AF35" i="8" s="1"/>
  <c r="AG35" i="8"/>
  <c r="AH35" i="8"/>
  <c r="AI35" i="8"/>
  <c r="AK35" i="8" s="1"/>
  <c r="AM35" i="8" s="1"/>
  <c r="AN35" i="8"/>
  <c r="AO35" i="8"/>
  <c r="AP35" i="8"/>
  <c r="AR35" i="8" s="1"/>
  <c r="AS35" i="8"/>
  <c r="AT35" i="8"/>
  <c r="AU35" i="8"/>
  <c r="AW35" i="8" s="1"/>
  <c r="AX35" i="8"/>
  <c r="AY35" i="8"/>
  <c r="BA35" i="8"/>
  <c r="BC35" i="8" s="1"/>
  <c r="BE35" i="8" s="1"/>
  <c r="BG35" i="8" s="1"/>
  <c r="BH35" i="8"/>
  <c r="BI35" i="8"/>
  <c r="BJ35" i="8"/>
  <c r="BL35" i="8" s="1"/>
  <c r="BN35" i="8" s="1"/>
  <c r="BY35" i="8"/>
  <c r="BZ35" i="8"/>
  <c r="CG35" i="8"/>
  <c r="CH35" i="8"/>
  <c r="CI35" i="8"/>
  <c r="CK35" i="8" s="1"/>
  <c r="CL35" i="8"/>
  <c r="CM35" i="8"/>
  <c r="CN35" i="8"/>
  <c r="CO35" i="8"/>
  <c r="CP35" i="8"/>
  <c r="CQ35" i="8"/>
  <c r="CS35" i="8" s="1"/>
  <c r="CU35" i="8" s="1"/>
  <c r="CW35" i="8" s="1"/>
  <c r="CX35" i="8"/>
  <c r="CY35" i="8"/>
  <c r="CZ35" i="8"/>
  <c r="DB35" i="8" s="1"/>
  <c r="DC35" i="8"/>
  <c r="DD35" i="8"/>
  <c r="DE35" i="8"/>
  <c r="DG35" i="8" s="1"/>
  <c r="DI35" i="8" s="1"/>
  <c r="DK35" i="8" s="1"/>
  <c r="DM35" i="8" s="1"/>
  <c r="DO35" i="8"/>
  <c r="EB35" i="8"/>
  <c r="EC35" i="8"/>
  <c r="EE35" i="8" s="1"/>
  <c r="D34" i="8"/>
  <c r="P34" i="8"/>
  <c r="Q34" i="8"/>
  <c r="S34" i="8" s="1"/>
  <c r="U34" i="8" s="1"/>
  <c r="W34" i="8" s="1"/>
  <c r="Y34" i="8" s="1"/>
  <c r="Z34" i="8"/>
  <c r="AA34" i="8"/>
  <c r="AB34" i="8"/>
  <c r="AD34" i="8" s="1"/>
  <c r="AF34" i="8" s="1"/>
  <c r="AH34" i="8"/>
  <c r="AI34" i="8"/>
  <c r="AK34" i="8" s="1"/>
  <c r="AM34" i="8" s="1"/>
  <c r="AN34" i="8"/>
  <c r="AO34" i="8"/>
  <c r="AP34" i="8"/>
  <c r="AR34" i="8" s="1"/>
  <c r="AS34" i="8"/>
  <c r="AT34" i="8"/>
  <c r="AU34" i="8"/>
  <c r="AW34" i="8" s="1"/>
  <c r="AX34" i="8"/>
  <c r="AY34" i="8"/>
  <c r="BA34" i="8"/>
  <c r="BC34" i="8" s="1"/>
  <c r="BE34" i="8" s="1"/>
  <c r="BG34" i="8" s="1"/>
  <c r="BH34" i="8"/>
  <c r="BI34" i="8"/>
  <c r="BJ34" i="8"/>
  <c r="BL34" i="8" s="1"/>
  <c r="BN34" i="8" s="1"/>
  <c r="BY34" i="8"/>
  <c r="BZ34" i="8"/>
  <c r="CG34" i="8"/>
  <c r="CH34" i="8"/>
  <c r="CI34" i="8"/>
  <c r="CK34" i="8" s="1"/>
  <c r="CL34" i="8"/>
  <c r="CM34" i="8"/>
  <c r="CN34" i="8"/>
  <c r="CO34" i="8"/>
  <c r="CP34" i="8"/>
  <c r="CQ34" i="8"/>
  <c r="CS34" i="8" s="1"/>
  <c r="CU34" i="8" s="1"/>
  <c r="CW34" i="8" s="1"/>
  <c r="CX34" i="8"/>
  <c r="CY34" i="8"/>
  <c r="CZ34" i="8"/>
  <c r="DB34" i="8" s="1"/>
  <c r="DC34" i="8"/>
  <c r="DD34" i="8"/>
  <c r="DE34" i="8"/>
  <c r="DG34" i="8" s="1"/>
  <c r="DI34" i="8" s="1"/>
  <c r="DK34" i="8" s="1"/>
  <c r="DM34" i="8" s="1"/>
  <c r="DN34" i="8"/>
  <c r="DO34" i="8"/>
  <c r="DP34" i="8"/>
  <c r="DT34" i="8" s="1"/>
  <c r="EA34" i="8"/>
  <c r="EB34" i="8"/>
  <c r="EC34" i="8"/>
  <c r="EE34" i="8" s="1"/>
  <c r="D19" i="8"/>
  <c r="F19" i="8"/>
  <c r="H19" i="8" s="1"/>
  <c r="J19" i="8" s="1"/>
  <c r="L19" i="8" s="1"/>
  <c r="N19" i="8" s="1"/>
  <c r="P19" i="8"/>
  <c r="Q19" i="8"/>
  <c r="S19" i="8" s="1"/>
  <c r="U19" i="8" s="1"/>
  <c r="W19" i="8" s="1"/>
  <c r="Y19" i="8" s="1"/>
  <c r="AA19" i="8"/>
  <c r="AB19" i="8"/>
  <c r="AD19" i="8" s="1"/>
  <c r="AF19" i="8" s="1"/>
  <c r="AH19" i="8"/>
  <c r="AI19" i="8"/>
  <c r="AK19" i="8" s="1"/>
  <c r="AM19" i="8" s="1"/>
  <c r="AO19" i="8"/>
  <c r="AP19" i="8"/>
  <c r="AR19" i="8" s="1"/>
  <c r="AS19" i="8"/>
  <c r="AT19" i="8"/>
  <c r="AU19" i="8"/>
  <c r="AW19" i="8" s="1"/>
  <c r="AX19" i="8"/>
  <c r="AY19" i="8"/>
  <c r="BA19" i="8"/>
  <c r="BC19" i="8" s="1"/>
  <c r="BE19" i="8" s="1"/>
  <c r="BG19" i="8" s="1"/>
  <c r="BI19" i="8"/>
  <c r="BJ19" i="8"/>
  <c r="BY19" i="8"/>
  <c r="BZ19" i="8"/>
  <c r="CG19" i="8"/>
  <c r="CH19" i="8"/>
  <c r="CI19" i="8"/>
  <c r="CK19" i="8" s="1"/>
  <c r="CL19" i="8"/>
  <c r="CM19" i="8"/>
  <c r="CN19" i="8"/>
  <c r="CO19" i="8"/>
  <c r="CP19" i="8"/>
  <c r="CQ19" i="8"/>
  <c r="CS19" i="8" s="1"/>
  <c r="CU19" i="8" s="1"/>
  <c r="CW19" i="8" s="1"/>
  <c r="CY19" i="8"/>
  <c r="CZ19" i="8"/>
  <c r="DB19" i="8" s="1"/>
  <c r="DC19" i="8"/>
  <c r="DD19" i="8"/>
  <c r="DE19" i="8"/>
  <c r="DN19" i="8"/>
  <c r="DO19" i="8"/>
  <c r="DP19" i="8"/>
  <c r="DT19" i="8" s="1"/>
  <c r="EA19" i="8"/>
  <c r="EB19" i="8"/>
  <c r="EC19" i="8"/>
  <c r="EE19" i="8" s="1"/>
  <c r="P15" i="8"/>
  <c r="Q15" i="8"/>
  <c r="S15" i="8" s="1"/>
  <c r="U15" i="8" s="1"/>
  <c r="W15" i="8" s="1"/>
  <c r="Y15" i="8" s="1"/>
  <c r="AA15" i="8"/>
  <c r="AB15" i="8"/>
  <c r="AD15" i="8" s="1"/>
  <c r="AF15" i="8" s="1"/>
  <c r="AH15" i="8"/>
  <c r="AI15" i="8"/>
  <c r="AK15" i="8" s="1"/>
  <c r="AM15" i="8" s="1"/>
  <c r="AO15" i="8"/>
  <c r="AP15" i="8"/>
  <c r="AR15" i="8" s="1"/>
  <c r="AT15" i="8"/>
  <c r="AU15" i="8"/>
  <c r="AW15" i="8" s="1"/>
  <c r="AY15" i="8"/>
  <c r="BZ15" i="8"/>
  <c r="CH15" i="8"/>
  <c r="CI15" i="8"/>
  <c r="CM15" i="8"/>
  <c r="CN15" i="8"/>
  <c r="CP15" i="8"/>
  <c r="CQ15" i="8"/>
  <c r="CS15" i="8" s="1"/>
  <c r="CU15" i="8" s="1"/>
  <c r="CW15" i="8" s="1"/>
  <c r="CY15" i="8"/>
  <c r="CZ15" i="8"/>
  <c r="DD15" i="8"/>
  <c r="DN15" i="8"/>
  <c r="DO15" i="8"/>
  <c r="DP15" i="8"/>
  <c r="DT15" i="8" s="1"/>
  <c r="EA15" i="8"/>
  <c r="EB15" i="8"/>
  <c r="EC15" i="8"/>
  <c r="EE15" i="8" s="1"/>
  <c r="AG34" i="8"/>
  <c r="EA25" i="8"/>
  <c r="EA30" i="8" s="1"/>
  <c r="CX25" i="8"/>
  <c r="CX30" i="8" s="1"/>
  <c r="CO25" i="8"/>
  <c r="CO30" i="8" s="1"/>
  <c r="CL25" i="8"/>
  <c r="CL30" i="8" s="1"/>
  <c r="CG25" i="8"/>
  <c r="CG30" i="8" s="1"/>
  <c r="BY25" i="8"/>
  <c r="BY30" i="8" s="1"/>
  <c r="BH25" i="8"/>
  <c r="BH30" i="8" s="1"/>
  <c r="AN25" i="8"/>
  <c r="AN30" i="8" s="1"/>
  <c r="AG25" i="8"/>
  <c r="AG30" i="8" s="1"/>
  <c r="Z25" i="8"/>
  <c r="Z30" i="8" s="1"/>
  <c r="BH19" i="8"/>
  <c r="AN19" i="8"/>
  <c r="O19" i="8"/>
  <c r="C16" i="8"/>
  <c r="GN16" i="8" s="1"/>
  <c r="AA18" i="6" s="1"/>
  <c r="DC14" i="8"/>
  <c r="GN14" i="8" s="1"/>
  <c r="DC13" i="8"/>
  <c r="BH11" i="8"/>
  <c r="AG11" i="8"/>
  <c r="CX9" i="8"/>
  <c r="CX15" i="8" s="1"/>
  <c r="CO9" i="8"/>
  <c r="CL9" i="8"/>
  <c r="CG15" i="8"/>
  <c r="BY9" i="8"/>
  <c r="BY15" i="8" s="1"/>
  <c r="BY23" i="8" s="1"/>
  <c r="BH9" i="8"/>
  <c r="AS9" i="8"/>
  <c r="AS15" i="8" s="1"/>
  <c r="AS23" i="8" s="1"/>
  <c r="AN9" i="8"/>
  <c r="AN15" i="8" s="1"/>
  <c r="AG9" i="8"/>
  <c r="Z9" i="8"/>
  <c r="Z15" i="8" s="1"/>
  <c r="O9" i="8"/>
  <c r="D34" i="7"/>
  <c r="O34" i="7"/>
  <c r="S34" i="7"/>
  <c r="T34" i="7"/>
  <c r="U34" i="7" s="1"/>
  <c r="W34" i="7" s="1"/>
  <c r="D33" i="7"/>
  <c r="O33" i="7"/>
  <c r="P33" i="7"/>
  <c r="R33" i="7" s="1"/>
  <c r="T33" i="7"/>
  <c r="U33" i="7" s="1"/>
  <c r="W33" i="7" s="1"/>
  <c r="D29" i="7"/>
  <c r="O29" i="7"/>
  <c r="P29" i="7"/>
  <c r="R29" i="7" s="1"/>
  <c r="S29" i="7"/>
  <c r="T29" i="7"/>
  <c r="D19" i="7"/>
  <c r="E19" i="7"/>
  <c r="O19" i="7"/>
  <c r="P19" i="7"/>
  <c r="R19" i="7" s="1"/>
  <c r="T19" i="7"/>
  <c r="U19" i="7" s="1"/>
  <c r="W19" i="7" s="1"/>
  <c r="O15" i="7"/>
  <c r="T15" i="7"/>
  <c r="CZ23" i="8" l="1"/>
  <c r="DB23" i="8" s="1"/>
  <c r="DB15" i="8"/>
  <c r="CI23" i="8"/>
  <c r="CK23" i="8" s="1"/>
  <c r="CK15" i="8"/>
  <c r="GT15" i="8"/>
  <c r="AG17" i="6" s="1"/>
  <c r="GT34" i="8"/>
  <c r="AG37" i="6" s="1"/>
  <c r="GT35" i="8"/>
  <c r="AT23" i="8"/>
  <c r="BJ23" i="8"/>
  <c r="BL23" i="8" s="1"/>
  <c r="BN23" i="8" s="1"/>
  <c r="BL19" i="8"/>
  <c r="BN19" i="8" s="1"/>
  <c r="DE23" i="8"/>
  <c r="DG23" i="8" s="1"/>
  <c r="DI23" i="8" s="1"/>
  <c r="DK23" i="8" s="1"/>
  <c r="DM23" i="8" s="1"/>
  <c r="DG19" i="8"/>
  <c r="DI19" i="8" s="1"/>
  <c r="DK19" i="8" s="1"/>
  <c r="DM19" i="8" s="1"/>
  <c r="GO35" i="8"/>
  <c r="AB38" i="6" s="1"/>
  <c r="AN38" i="6" s="1"/>
  <c r="GO34" i="8"/>
  <c r="AP31" i="6"/>
  <c r="AR31" i="6" s="1"/>
  <c r="AT31" i="6" s="1"/>
  <c r="AV31" i="6" s="1"/>
  <c r="AX31" i="6" s="1"/>
  <c r="T31" i="6"/>
  <c r="V31" i="6" s="1"/>
  <c r="X31" i="6" s="1"/>
  <c r="Z31" i="6" s="1"/>
  <c r="AB33" i="7"/>
  <c r="U15" i="7"/>
  <c r="W15" i="7" s="1"/>
  <c r="AB15" i="7"/>
  <c r="AB34" i="7"/>
  <c r="AB19" i="7"/>
  <c r="AQ22" i="15"/>
  <c r="AS22" i="15" s="1"/>
  <c r="AU22" i="15" s="1"/>
  <c r="AW22" i="15" s="1"/>
  <c r="GO15" i="8"/>
  <c r="AB17" i="6" s="1"/>
  <c r="AN17" i="6" s="1"/>
  <c r="AB21" i="6"/>
  <c r="AN21" i="6" s="1"/>
  <c r="CG23" i="8"/>
  <c r="CQ23" i="8"/>
  <c r="CS23" i="8" s="1"/>
  <c r="CU23" i="8" s="1"/>
  <c r="CW23" i="8" s="1"/>
  <c r="AX23" i="8"/>
  <c r="T38" i="7"/>
  <c r="U38" i="7" s="1"/>
  <c r="W38" i="7" s="1"/>
  <c r="U29" i="7"/>
  <c r="W29" i="7" s="1"/>
  <c r="P38" i="7"/>
  <c r="R38" i="7" s="1"/>
  <c r="EA23" i="8"/>
  <c r="O22" i="7"/>
  <c r="AA13" i="6"/>
  <c r="GN30" i="8"/>
  <c r="P22" i="7"/>
  <c r="R22" i="7" s="1"/>
  <c r="CN23" i="8"/>
  <c r="D38" i="7"/>
  <c r="AA28" i="6"/>
  <c r="O15" i="8"/>
  <c r="O23" i="8" s="1"/>
  <c r="GN9" i="8"/>
  <c r="AA11" i="6" s="1"/>
  <c r="DC15" i="8"/>
  <c r="DC23" i="8" s="1"/>
  <c r="GN13" i="8"/>
  <c r="AA15" i="6" s="1"/>
  <c r="EC23" i="8"/>
  <c r="EE23" i="8" s="1"/>
  <c r="DO23" i="8"/>
  <c r="DN40" i="8"/>
  <c r="EB23" i="8"/>
  <c r="CM23" i="8"/>
  <c r="BZ23" i="8"/>
  <c r="AI23" i="8"/>
  <c r="AK23" i="8" s="1"/>
  <c r="AM23" i="8" s="1"/>
  <c r="Q23" i="8"/>
  <c r="S23" i="8" s="1"/>
  <c r="U23" i="8" s="1"/>
  <c r="W23" i="8" s="1"/>
  <c r="Y23" i="8" s="1"/>
  <c r="DP23" i="8"/>
  <c r="DD23" i="8"/>
  <c r="BA23" i="8"/>
  <c r="BC23" i="8" s="1"/>
  <c r="BE23" i="8" s="1"/>
  <c r="BG23" i="8" s="1"/>
  <c r="AP23" i="8"/>
  <c r="AR23" i="8" s="1"/>
  <c r="AB23" i="8"/>
  <c r="AD23" i="8" s="1"/>
  <c r="AF23" i="8" s="1"/>
  <c r="F23" i="8"/>
  <c r="H23" i="8" s="1"/>
  <c r="J23" i="8" s="1"/>
  <c r="L23" i="8" s="1"/>
  <c r="N23" i="8" s="1"/>
  <c r="AO29" i="15"/>
  <c r="O33" i="6" s="1"/>
  <c r="C38" i="15"/>
  <c r="AO38" i="15" s="1"/>
  <c r="AG15" i="8"/>
  <c r="O38" i="7"/>
  <c r="CP23" i="8"/>
  <c r="CH23" i="8"/>
  <c r="BI23" i="8"/>
  <c r="AH23" i="8"/>
  <c r="D23" i="8"/>
  <c r="BH15" i="8"/>
  <c r="BH23" i="8" s="1"/>
  <c r="CY23" i="8"/>
  <c r="AY23" i="8"/>
  <c r="AO23" i="8"/>
  <c r="AA23" i="8"/>
  <c r="P23" i="8"/>
  <c r="F40" i="8"/>
  <c r="H40" i="8" s="1"/>
  <c r="J40" i="8" s="1"/>
  <c r="L40" i="8" s="1"/>
  <c r="N40" i="8" s="1"/>
  <c r="CI40" i="8"/>
  <c r="CK40" i="8" s="1"/>
  <c r="AU40" i="8"/>
  <c r="AW40" i="8" s="1"/>
  <c r="CM40" i="8"/>
  <c r="AY40" i="8"/>
  <c r="AA40" i="8"/>
  <c r="T22" i="7"/>
  <c r="U22" i="7" s="1"/>
  <c r="W22" i="7" s="1"/>
  <c r="D22" i="7"/>
  <c r="AU23" i="8"/>
  <c r="AW23" i="8" s="1"/>
  <c r="CZ40" i="8"/>
  <c r="DB40" i="8" s="1"/>
  <c r="CP40" i="8"/>
  <c r="BI40" i="8"/>
  <c r="AP40" i="8"/>
  <c r="AR40" i="8" s="1"/>
  <c r="AH40" i="8"/>
  <c r="Q40" i="8"/>
  <c r="S40" i="8" s="1"/>
  <c r="U40" i="8" s="1"/>
  <c r="W40" i="8" s="1"/>
  <c r="Y40" i="8" s="1"/>
  <c r="D40" i="8"/>
  <c r="DO40" i="8"/>
  <c r="CQ40" i="8"/>
  <c r="CS40" i="8" s="1"/>
  <c r="CU40" i="8" s="1"/>
  <c r="CW40" i="8" s="1"/>
  <c r="BJ40" i="8"/>
  <c r="BL40" i="8" s="1"/>
  <c r="BN40" i="8" s="1"/>
  <c r="AI40" i="8"/>
  <c r="AK40" i="8" s="1"/>
  <c r="AM40" i="8" s="1"/>
  <c r="EC40" i="8"/>
  <c r="EE40" i="8" s="1"/>
  <c r="DE40" i="8"/>
  <c r="DG40" i="8" s="1"/>
  <c r="DI40" i="8" s="1"/>
  <c r="DK40" i="8" s="1"/>
  <c r="DM40" i="8" s="1"/>
  <c r="CY40" i="8"/>
  <c r="BZ40" i="8"/>
  <c r="AO40" i="8"/>
  <c r="P40" i="8"/>
  <c r="EB40" i="8"/>
  <c r="CN40" i="8"/>
  <c r="CH40" i="8"/>
  <c r="BA40" i="8"/>
  <c r="BC40" i="8" s="1"/>
  <c r="BE40" i="8" s="1"/>
  <c r="BG40" i="8" s="1"/>
  <c r="AT40" i="8"/>
  <c r="AB40" i="8"/>
  <c r="AD40" i="8" s="1"/>
  <c r="AF40" i="8" s="1"/>
  <c r="DD40" i="8"/>
  <c r="CL23" i="8"/>
  <c r="AO15" i="15"/>
  <c r="AX40" i="8"/>
  <c r="BY40" i="8"/>
  <c r="CO15" i="8"/>
  <c r="CO23" i="8" s="1"/>
  <c r="CL40" i="8"/>
  <c r="AN23" i="8"/>
  <c r="C15" i="8"/>
  <c r="O34" i="8"/>
  <c r="GN34" i="8" s="1"/>
  <c r="AA37" i="6" s="1"/>
  <c r="EA40" i="8"/>
  <c r="CX40" i="8"/>
  <c r="AN40" i="8"/>
  <c r="AG19" i="8"/>
  <c r="CO40" i="8"/>
  <c r="BH40" i="8"/>
  <c r="AG40" i="8"/>
  <c r="C22" i="15"/>
  <c r="AO19" i="15"/>
  <c r="O21" i="6" s="1"/>
  <c r="C35" i="8"/>
  <c r="GN35" i="8" s="1"/>
  <c r="AA38" i="6" s="1"/>
  <c r="Z40" i="8"/>
  <c r="DC40" i="8"/>
  <c r="AS40" i="8"/>
  <c r="AB37" i="6" l="1"/>
  <c r="GO40" i="8"/>
  <c r="GU35" i="8"/>
  <c r="GW35" i="8" s="1"/>
  <c r="GY35" i="8" s="1"/>
  <c r="AG38" i="6"/>
  <c r="AG42" i="6" s="1"/>
  <c r="AS37" i="6"/>
  <c r="AT37" i="6" s="1"/>
  <c r="AV37" i="6" s="1"/>
  <c r="AX37" i="6" s="1"/>
  <c r="AH37" i="6"/>
  <c r="AJ37" i="6" s="1"/>
  <c r="AL37" i="6" s="1"/>
  <c r="AG24" i="6"/>
  <c r="AS17" i="6"/>
  <c r="AT17" i="6" s="1"/>
  <c r="AV17" i="6" s="1"/>
  <c r="AH17" i="6"/>
  <c r="AJ17" i="6" s="1"/>
  <c r="AL17" i="6" s="1"/>
  <c r="GU34" i="8"/>
  <c r="GW34" i="8" s="1"/>
  <c r="GY34" i="8" s="1"/>
  <c r="GT40" i="8"/>
  <c r="GU40" i="8" s="1"/>
  <c r="GW40" i="8" s="1"/>
  <c r="GY40" i="8" s="1"/>
  <c r="GT23" i="8"/>
  <c r="GU23" i="8" s="1"/>
  <c r="GW23" i="8" s="1"/>
  <c r="GY23" i="8" s="1"/>
  <c r="GU15" i="8"/>
  <c r="GW15" i="8" s="1"/>
  <c r="GY15" i="8" s="1"/>
  <c r="AN37" i="6"/>
  <c r="AB42" i="6"/>
  <c r="AN42" i="6" s="1"/>
  <c r="AB38" i="7"/>
  <c r="AB22" i="7"/>
  <c r="AB24" i="6"/>
  <c r="AN24" i="6" s="1"/>
  <c r="AA33" i="6"/>
  <c r="AG23" i="8"/>
  <c r="CG40" i="8"/>
  <c r="O40" i="8"/>
  <c r="C40" i="8"/>
  <c r="AO22" i="15"/>
  <c r="O26" i="6" s="1"/>
  <c r="S32" i="7"/>
  <c r="S33" i="7" s="1"/>
  <c r="S38" i="7" s="1"/>
  <c r="N32" i="7"/>
  <c r="N31" i="7"/>
  <c r="N30" i="7"/>
  <c r="N28" i="7"/>
  <c r="N26" i="7"/>
  <c r="N24" i="7"/>
  <c r="S18" i="7"/>
  <c r="N18" i="7"/>
  <c r="S17" i="7"/>
  <c r="N17" i="7"/>
  <c r="S16" i="7"/>
  <c r="N16" i="7"/>
  <c r="S14" i="7"/>
  <c r="N14" i="7"/>
  <c r="S13" i="7"/>
  <c r="N13" i="7"/>
  <c r="S12" i="7"/>
  <c r="N12" i="7"/>
  <c r="S11" i="7"/>
  <c r="S10" i="7"/>
  <c r="AA20" i="7"/>
  <c r="AA21" i="7"/>
  <c r="C23" i="6" s="1"/>
  <c r="AM23" i="6" s="1"/>
  <c r="AA25" i="7"/>
  <c r="AA37" i="7"/>
  <c r="C41" i="6" s="1"/>
  <c r="AM41" i="6" s="1"/>
  <c r="AA39" i="7"/>
  <c r="C45" i="6" s="1"/>
  <c r="AM45" i="6" s="1"/>
  <c r="AA8" i="7"/>
  <c r="S9" i="7"/>
  <c r="AS42" i="6" l="1"/>
  <c r="AT42" i="6" s="1"/>
  <c r="AV42" i="6" s="1"/>
  <c r="AX42" i="6" s="1"/>
  <c r="AH42" i="6"/>
  <c r="AJ42" i="6" s="1"/>
  <c r="AL42" i="6" s="1"/>
  <c r="AS38" i="6"/>
  <c r="AT38" i="6" s="1"/>
  <c r="AV38" i="6" s="1"/>
  <c r="AX38" i="6" s="1"/>
  <c r="AH38" i="6"/>
  <c r="AJ38" i="6" s="1"/>
  <c r="AL38" i="6" s="1"/>
  <c r="AG26" i="6"/>
  <c r="AH26" i="6" s="1"/>
  <c r="AJ26" i="6" s="1"/>
  <c r="AL26" i="6" s="1"/>
  <c r="AS24" i="6"/>
  <c r="AH24" i="6"/>
  <c r="AJ24" i="6" s="1"/>
  <c r="AL24" i="6" s="1"/>
  <c r="GN40" i="8"/>
  <c r="N19" i="7"/>
  <c r="C29" i="6"/>
  <c r="S19" i="7"/>
  <c r="AA27" i="7"/>
  <c r="C31" i="6" s="1"/>
  <c r="AM31" i="6" s="1"/>
  <c r="AA28" i="7"/>
  <c r="S15" i="7"/>
  <c r="AA30" i="7"/>
  <c r="N29" i="7"/>
  <c r="AM38" i="6"/>
  <c r="AA24" i="7"/>
  <c r="C28" i="6" s="1"/>
  <c r="AA31" i="7"/>
  <c r="N33" i="7"/>
  <c r="AA9" i="7"/>
  <c r="C11" i="6" s="1"/>
  <c r="AM11" i="6" s="1"/>
  <c r="N15" i="7"/>
  <c r="AA32" i="7"/>
  <c r="AA26" i="7"/>
  <c r="C30" i="6" s="1"/>
  <c r="AM30" i="6" s="1"/>
  <c r="AA18" i="7"/>
  <c r="AA17" i="7"/>
  <c r="AA16" i="7"/>
  <c r="C18" i="6" s="1"/>
  <c r="AM18" i="6" s="1"/>
  <c r="AA14" i="7"/>
  <c r="AA13" i="7"/>
  <c r="AA12" i="7"/>
  <c r="C14" i="6" s="1"/>
  <c r="AM14" i="6" s="1"/>
  <c r="AA11" i="7"/>
  <c r="C13" i="6" s="1"/>
  <c r="AA10" i="7"/>
  <c r="C12" i="6" s="1"/>
  <c r="AM12" i="6" s="1"/>
  <c r="AS26" i="6" l="1"/>
  <c r="AT26" i="6" s="1"/>
  <c r="AV26" i="6" s="1"/>
  <c r="AX26" i="6" s="1"/>
  <c r="AT24" i="6"/>
  <c r="AV24" i="6" s="1"/>
  <c r="AA42" i="6"/>
  <c r="AA44" i="6" s="1"/>
  <c r="S22" i="7"/>
  <c r="AA19" i="7"/>
  <c r="C21" i="6" s="1"/>
  <c r="N22" i="7"/>
  <c r="C16" i="6"/>
  <c r="AM16" i="6" s="1"/>
  <c r="C36" i="6"/>
  <c r="AM36" i="6" s="1"/>
  <c r="C35" i="6"/>
  <c r="AM35" i="6" s="1"/>
  <c r="C32" i="6"/>
  <c r="AM32" i="6" s="1"/>
  <c r="C15" i="6"/>
  <c r="AM15" i="6" s="1"/>
  <c r="C20" i="6"/>
  <c r="AM20" i="6" s="1"/>
  <c r="C34" i="6"/>
  <c r="AM34" i="6" s="1"/>
  <c r="AA29" i="7"/>
  <c r="C33" i="6" s="1"/>
  <c r="AM33" i="6" s="1"/>
  <c r="AA33" i="7"/>
  <c r="AA15" i="7"/>
  <c r="C17" i="6" s="1"/>
  <c r="AM17" i="6" s="1"/>
  <c r="AA22" i="7" l="1"/>
  <c r="C37" i="6"/>
  <c r="AM37" i="6" s="1"/>
  <c r="C44" i="6"/>
  <c r="C24" i="6" l="1"/>
  <c r="C26" i="6" s="1"/>
  <c r="S40" i="7"/>
  <c r="CX19" i="8" l="1"/>
  <c r="CX23" i="8" l="1"/>
  <c r="Z19" i="8"/>
  <c r="Z23" i="8" l="1"/>
  <c r="C19" i="8"/>
  <c r="AA21" i="6" s="1"/>
  <c r="C23" i="8" l="1"/>
  <c r="AM26" i="6" l="1"/>
  <c r="AA26" i="6"/>
  <c r="L15" i="20"/>
  <c r="L22" i="20" s="1"/>
  <c r="BQ22" i="20" s="1"/>
  <c r="M9" i="20"/>
  <c r="BR22" i="20" l="1"/>
  <c r="Y24" i="6"/>
  <c r="M22" i="20"/>
  <c r="M15" i="20"/>
  <c r="BQ15" i="20"/>
  <c r="AW24" i="6" l="1"/>
  <c r="AX24" i="6" s="1"/>
  <c r="Z24" i="6"/>
  <c r="BR15" i="20"/>
  <c r="Y17" i="6"/>
  <c r="AW17" i="6" l="1"/>
  <c r="AX17" i="6" s="1"/>
  <c r="Z17" i="6"/>
</calcChain>
</file>

<file path=xl/sharedStrings.xml><?xml version="1.0" encoding="utf-8"?>
<sst xmlns="http://schemas.openxmlformats.org/spreadsheetml/2006/main" count="1221" uniqueCount="187">
  <si>
    <t>ezer Ft-ban</t>
  </si>
  <si>
    <t>Címrend</t>
  </si>
  <si>
    <t>1.</t>
  </si>
  <si>
    <t>Személyi juttatások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</si>
  <si>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</si>
  <si>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</si>
  <si>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</si>
  <si>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</si>
  <si>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</si>
  <si>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</si>
  <si>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</si>
  <si>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</si>
  <si>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</si>
  <si>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</si>
  <si>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</si>
  <si>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</si>
  <si>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</si>
  <si>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</si>
  <si>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</si>
  <si>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</si>
  <si>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</si>
  <si>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</si>
  <si>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</si>
  <si>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</si>
  <si>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</si>
  <si>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</si>
  <si>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</si>
  <si>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</si>
  <si>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</si>
  <si>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</si>
  <si>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</si>
  <si>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</si>
  <si>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</si>
  <si>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Létszámkeret (fő)</t>
  </si>
  <si>
    <t xml:space="preserve"> </t>
  </si>
  <si>
    <t>Módosított előirányzat</t>
  </si>
  <si>
    <t>Eredeti előirányzat</t>
  </si>
  <si>
    <t>MINDÖSSZESEN</t>
  </si>
  <si>
    <t>Önkormányzati Feladatok</t>
  </si>
  <si>
    <t>Munkaadókat terhelő járulékok és szociális hozzájárulási adó</t>
  </si>
  <si>
    <t>Közhatalmi bevételek</t>
  </si>
  <si>
    <t xml:space="preserve">Ellátottak pénzbeli juttatásai </t>
  </si>
  <si>
    <t>Egyéb működési célú kiadások</t>
  </si>
  <si>
    <t>Működési költségvetési kiadások összesen:</t>
  </si>
  <si>
    <t>Beruházások</t>
  </si>
  <si>
    <t>Felújítások</t>
  </si>
  <si>
    <t>Egyéb felhalmozási kiadások</t>
  </si>
  <si>
    <t>Felhalmozási költségvetési kiadások összesen:</t>
  </si>
  <si>
    <t>Kiadások mindösszesen:</t>
  </si>
  <si>
    <t>Működési bevételek</t>
  </si>
  <si>
    <t>Működési célú átvett pénzeszközök</t>
  </si>
  <si>
    <t>Működési költségvetési bevételek összesen:</t>
  </si>
  <si>
    <t>Felhalmozási bevételek</t>
  </si>
  <si>
    <t>Felhalmozási célú átvett pénzeszközök</t>
  </si>
  <si>
    <t>Felhalmozási költségvetési bevételek összesen:</t>
  </si>
  <si>
    <t>Bevételek</t>
  </si>
  <si>
    <t>Bevételek mindösszesen:</t>
  </si>
  <si>
    <t>Kiadások</t>
  </si>
  <si>
    <t>Abonyi Polgármesteri Hivatal</t>
  </si>
  <si>
    <t>Abonyi Lajos Művelődési Ház, Könyvtár és Múzeumi Kiállítóhely összesen</t>
  </si>
  <si>
    <t>Abony Városi Sportcsarnok összesen</t>
  </si>
  <si>
    <t>Abonyi Gyöngyszemek Óvoda összesen</t>
  </si>
  <si>
    <t>Abonyi Szivárvány Óvoda és Bölcsőde összesen</t>
  </si>
  <si>
    <t>Abonyi Pingvines Óvoda és Bölcsőde összesen</t>
  </si>
  <si>
    <t>Abonyi Polgármesteri Hivatal összesen</t>
  </si>
  <si>
    <t>Helyi önkormányzat által irányított költségvetési szervek</t>
  </si>
  <si>
    <t>685-818</t>
  </si>
  <si>
    <t>685-807</t>
  </si>
  <si>
    <t>Általános igazgatási tevékenység 011130</t>
  </si>
  <si>
    <t>Állampolgársági ügyek 016030</t>
  </si>
  <si>
    <t>Lakkásfenntartási ellátások 106020</t>
  </si>
  <si>
    <t xml:space="preserve">Dologi kiadások </t>
  </si>
  <si>
    <t>-ebből tartalékok</t>
  </si>
  <si>
    <t>Finanszirozási kiadások összesen:</t>
  </si>
  <si>
    <t>Finanszirozási bevételek összesen:</t>
  </si>
  <si>
    <t>-ebből kapott irányítószervi támogatás</t>
  </si>
  <si>
    <t>-értékpapír műveletek bevétele</t>
  </si>
  <si>
    <t>-ebből folyósított irányítószervi támogatás</t>
  </si>
  <si>
    <t>Működési célú támogatások Áht-n belüről</t>
  </si>
  <si>
    <t>-ebből önkormányzatok működési támogatása</t>
  </si>
  <si>
    <t>Felhalmozási célú támogatások Áht-n belülről</t>
  </si>
  <si>
    <t>-előző évi költségvetési maradvány igénybevétele</t>
  </si>
  <si>
    <t>650-836</t>
  </si>
  <si>
    <t>Háziorvosi ügyeleti ellátás 072112</t>
  </si>
  <si>
    <t>Járóbeteg szakellátás 072210</t>
  </si>
  <si>
    <t>Család és nővédelmi eü. gondozás 074031</t>
  </si>
  <si>
    <t>Ifjúság eü. gondozás 074032</t>
  </si>
  <si>
    <t>Intézmény összesen</t>
  </si>
  <si>
    <t>Sportlétesítmények működtetése 081030</t>
  </si>
  <si>
    <t>Módosítás</t>
  </si>
  <si>
    <t xml:space="preserve">Művelődési Ház 082091 </t>
  </si>
  <si>
    <t>Könyvtár 082042</t>
  </si>
  <si>
    <t>Abonyi Napló 083030</t>
  </si>
  <si>
    <t>Falu Múzeum 082061</t>
  </si>
  <si>
    <t>Hosszab id. közfoglalkoztatás 041233</t>
  </si>
  <si>
    <t>Óvodai nevelés ellátás, működtetési 091140</t>
  </si>
  <si>
    <t>Általános igazgatási tev. 011130</t>
  </si>
  <si>
    <t>Vagyongazdálkodási feladatok 013350</t>
  </si>
  <si>
    <t>Út építése 045120</t>
  </si>
  <si>
    <t>Közvilágítás 064010</t>
  </si>
  <si>
    <t>Háziorvosi alapellátás 072111</t>
  </si>
  <si>
    <t xml:space="preserve">Önk. elszámolásai a kp-i költségvetéssel 018010 </t>
  </si>
  <si>
    <t>Támogatási c. finaszírozások 018030</t>
  </si>
  <si>
    <t>Önkormányzat összesen</t>
  </si>
  <si>
    <t>Gyermekétkeztetés köznevelési intézményben 096015</t>
  </si>
  <si>
    <t>Gyermekétkeztetés bölcsődében, fogy. napp. intézményében 104035</t>
  </si>
  <si>
    <t>Járóbeteg ellátás finanszírozása és támogatása 072290</t>
  </si>
  <si>
    <t>Közegészségügyi szolg. finansz. és támogatása 074090</t>
  </si>
  <si>
    <t>Gyermekek bölcsődei ellátása 104031</t>
  </si>
  <si>
    <t>-ebből tartalékok (működés)</t>
  </si>
  <si>
    <t>Városgazdálkodási egyéb szolg. 066020  (Abokom)</t>
  </si>
  <si>
    <t>Támogatási c.pénzeszköz átadás 018030 (Ceglédi T.K.T)</t>
  </si>
  <si>
    <t>Szünidei gyermekétkeztetés 104037</t>
  </si>
  <si>
    <t>Hitelfelvétel+államháztartáson belüli megelőlegezés</t>
  </si>
  <si>
    <t>Abony Város Önkormányzat, Abonyi Polgámesteri Hivatal és a Helyi Önkormányzat által irányított költségvetési szervek  2018. évi tervezett előirányzatai</t>
  </si>
  <si>
    <t>Sajátos nevelési igényű gyermekek óvodai nevelésének ellátásának szakmai feladatai 091120</t>
  </si>
  <si>
    <t xml:space="preserve">Sajátos nevelési igényű gyermekek óvodai nevelésének ellátásának szakmai feladatai 091120 </t>
  </si>
  <si>
    <t>Fogyatékossággal élők nappali ellátása 101221</t>
  </si>
  <si>
    <t>Gyermekvédelmi, pénzbeli és természetbeni ellátások 104051</t>
  </si>
  <si>
    <t>Lakásfenntartással, lakhatással összefüggő ellátások 106020</t>
  </si>
  <si>
    <t>Hosszabb idejű közfoglalk. Abokom 041233</t>
  </si>
  <si>
    <t>Szociális étkezés 107051</t>
  </si>
  <si>
    <t>Lakáshoz jutást segítő támogatások 061030</t>
  </si>
  <si>
    <t xml:space="preserve"> -ebből hite-, kölcsön felvétele+ áht-n belüli megelőlegezések</t>
  </si>
  <si>
    <t>Egyéb szociális pénzbeli és természetbeni ellátások, szolgáltatások 107060</t>
  </si>
  <si>
    <t>Helyi adók  900020</t>
  </si>
  <si>
    <t>Halmozódás miatti levonás</t>
  </si>
  <si>
    <t>Halmozódás mentes kiadások összesen</t>
  </si>
  <si>
    <t>Halmozódás mentes bevételek összesen</t>
  </si>
  <si>
    <t>Módisítás 06.28</t>
  </si>
  <si>
    <t>Módosított 06.28</t>
  </si>
  <si>
    <t>Módosítás 06.28</t>
  </si>
  <si>
    <t>2</t>
  </si>
  <si>
    <t>Falumúzeum 082064</t>
  </si>
  <si>
    <t>Művelődési Ház 082092</t>
  </si>
  <si>
    <t>6</t>
  </si>
  <si>
    <t>Országgyűlési, önkormányzati és európai parlamenti képviselőválasztásokhoz kapcsolódó tevékenységek 016010</t>
  </si>
  <si>
    <t>3. melléklet a 11/2018. (II.19.) önkormányzati rendelethez</t>
  </si>
  <si>
    <t>Módosítás 07.31.</t>
  </si>
  <si>
    <t>Módosított 07.31.</t>
  </si>
  <si>
    <t>1</t>
  </si>
  <si>
    <t>31</t>
  </si>
  <si>
    <t>Módosított  07.31.</t>
  </si>
  <si>
    <t>131</t>
  </si>
  <si>
    <t>Módosítás 08.30</t>
  </si>
  <si>
    <t>Módosított 08.30</t>
  </si>
  <si>
    <t>Óvodai nevelés ellátás, szakmai 091110</t>
  </si>
  <si>
    <t>Gyermekek napközbeni ellátása 104031 Bölcsöde</t>
  </si>
  <si>
    <t>Módosított  06.28</t>
  </si>
  <si>
    <t>1227</t>
  </si>
  <si>
    <t>Módosítás 08.31</t>
  </si>
  <si>
    <t>Módosított 08.31</t>
  </si>
  <si>
    <t>Lakóingatlan bérbeadása üzemelt. 106010</t>
  </si>
  <si>
    <t>Módosítás 07.31</t>
  </si>
  <si>
    <t>Módosított 07.31</t>
  </si>
  <si>
    <t>Folyószámla hitel 900060</t>
  </si>
  <si>
    <t>Sportlétesítmények, edzőtábokok működtetése és fejlesztése 081030</t>
  </si>
  <si>
    <t>Pályázat (Üzleti Park)  013350</t>
  </si>
  <si>
    <t>Pályázat (Pingvines Óvoda) 013350</t>
  </si>
  <si>
    <t>PM_Óvodafejlesztés 2017/45 Abonyi Gyöngyszemek Óvoda 041040</t>
  </si>
  <si>
    <t>Somogyi Isk.</t>
  </si>
  <si>
    <t>beruházás</t>
  </si>
  <si>
    <t>csapadékvizes pály</t>
  </si>
  <si>
    <t>belterületi utas pály.</t>
  </si>
  <si>
    <t>felújítás</t>
  </si>
  <si>
    <t>Külter.</t>
  </si>
  <si>
    <t>Pingv.önerő</t>
  </si>
  <si>
    <t>Módosítás 09.27</t>
  </si>
  <si>
    <t>Módosított 09.27</t>
  </si>
  <si>
    <t>Módosítás 09-27</t>
  </si>
  <si>
    <t>módosítás 09.27</t>
  </si>
  <si>
    <t>Módosítás 09.,27</t>
  </si>
  <si>
    <t>PM_KEREKPARUT-18 Kerékpárutak létesítése, felújítása  045120</t>
  </si>
  <si>
    <t>Csapadékvizes pályázat  B öblözet</t>
  </si>
  <si>
    <t>Módosítás 11.29</t>
  </si>
  <si>
    <t>Módosított 11.29</t>
  </si>
  <si>
    <t>Módosítás 12.31</t>
  </si>
  <si>
    <t>Módosított 12.31</t>
  </si>
  <si>
    <t>Zártkert program támogatása (042120)</t>
  </si>
  <si>
    <t>Belterületi utak szilárd burk.tört. Kiép.(045120)</t>
  </si>
  <si>
    <t>Belterületi utak, járdák felújítása pály.(045120)</t>
  </si>
  <si>
    <t>Módosított 12,31</t>
  </si>
  <si>
    <t>VP6-7.2.1.7.4.1.2-16. Külterületi helyi közutak fejl. (062020)</t>
  </si>
  <si>
    <t>Pályázati önerő (013350)</t>
  </si>
  <si>
    <t xml:space="preserve">Módosítás 12.31 </t>
  </si>
  <si>
    <t>Közfoglalkoztatottak támogatása (Abokom) 041232</t>
  </si>
  <si>
    <t>4. melléklet a 3/2019.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</si>
</sst>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0,"/>
    <numFmt numFmtId="165" formatCode="_-* #,##0\ _F_t_-;\-* #,##0\ _F_t_-;_-* &quot;-&quot;??\ _F_t_-;_-@_-"/>
  </numFmts>
  <fonts count="2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Arial CE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i/>
      <sz val="10"/>
      <name val="Arial CE"/>
      <family val="2"/>
      <charset val="238"/>
    </font>
    <font>
      <i/>
      <sz val="10"/>
      <color indexed="10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Arial CE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607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64" fontId="8" fillId="0" borderId="10" xfId="0" applyNumberFormat="1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13" fillId="0" borderId="0" xfId="0" applyFont="1"/>
    <xf numFmtId="0" fontId="0" fillId="0" borderId="0" xfId="0" applyFont="1" applyBorder="1" applyAlignment="1">
      <alignment vertical="center"/>
    </xf>
    <xf numFmtId="3" fontId="12" fillId="0" borderId="10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14" fillId="0" borderId="10" xfId="0" applyNumberFormat="1" applyFont="1" applyFill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164" fontId="14" fillId="0" borderId="10" xfId="0" applyNumberFormat="1" applyFont="1" applyFill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15" fillId="0" borderId="10" xfId="0" applyNumberFormat="1" applyFont="1" applyFill="1" applyBorder="1" applyAlignment="1">
      <alignment vertical="center"/>
    </xf>
    <xf numFmtId="164" fontId="14" fillId="0" borderId="3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7" fillId="0" borderId="10" xfId="0" applyNumberFormat="1" applyFont="1" applyFill="1" applyBorder="1" applyAlignment="1">
      <alignment vertical="center"/>
    </xf>
    <xf numFmtId="164" fontId="12" fillId="0" borderId="10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15" fillId="0" borderId="10" xfId="0" applyNumberFormat="1" applyFont="1" applyBorder="1" applyAlignment="1">
      <alignment vertical="center"/>
    </xf>
    <xf numFmtId="164" fontId="14" fillId="0" borderId="10" xfId="0" applyNumberFormat="1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5" fillId="0" borderId="10" xfId="0" applyNumberFormat="1" applyFont="1" applyFill="1" applyBorder="1" applyAlignment="1">
      <alignment vertical="center" wrapText="1"/>
    </xf>
    <xf numFmtId="3" fontId="8" fillId="0" borderId="10" xfId="0" applyNumberFormat="1" applyFont="1" applyFill="1" applyBorder="1" applyAlignment="1">
      <alignment vertical="center" wrapText="1"/>
    </xf>
    <xf numFmtId="164" fontId="8" fillId="0" borderId="3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164" fontId="5" fillId="0" borderId="10" xfId="1" applyNumberFormat="1" applyFont="1" applyFill="1" applyBorder="1" applyAlignment="1">
      <alignment vertical="center" wrapText="1"/>
    </xf>
    <xf numFmtId="164" fontId="8" fillId="0" borderId="10" xfId="1" applyNumberFormat="1" applyFont="1" applyFill="1" applyBorder="1" applyAlignment="1">
      <alignment vertical="center" wrapText="1"/>
    </xf>
    <xf numFmtId="164" fontId="14" fillId="0" borderId="10" xfId="1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 wrapText="1"/>
    </xf>
    <xf numFmtId="0" fontId="12" fillId="0" borderId="16" xfId="0" quotePrefix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164" fontId="9" fillId="0" borderId="10" xfId="0" applyNumberFormat="1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vertical="center"/>
    </xf>
    <xf numFmtId="165" fontId="6" fillId="0" borderId="4" xfId="1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9" fillId="0" borderId="24" xfId="0" applyNumberFormat="1" applyFont="1" applyBorder="1" applyAlignment="1">
      <alignment vertical="center"/>
    </xf>
    <xf numFmtId="0" fontId="12" fillId="0" borderId="16" xfId="0" quotePrefix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/>
    </xf>
    <xf numFmtId="164" fontId="5" fillId="0" borderId="24" xfId="0" applyNumberFormat="1" applyFont="1" applyFill="1" applyBorder="1" applyAlignment="1">
      <alignment vertical="center"/>
    </xf>
    <xf numFmtId="164" fontId="14" fillId="0" borderId="24" xfId="0" applyNumberFormat="1" applyFont="1" applyFill="1" applyBorder="1" applyAlignment="1">
      <alignment vertical="center"/>
    </xf>
    <xf numFmtId="164" fontId="8" fillId="0" borderId="24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65" fontId="5" fillId="0" borderId="12" xfId="1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24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right" vertical="center"/>
    </xf>
    <xf numFmtId="1" fontId="6" fillId="0" borderId="10" xfId="0" applyNumberFormat="1" applyFont="1" applyFill="1" applyBorder="1" applyAlignment="1">
      <alignment vertical="center"/>
    </xf>
    <xf numFmtId="1" fontId="12" fillId="0" borderId="10" xfId="0" applyNumberFormat="1" applyFont="1" applyFill="1" applyBorder="1" applyAlignment="1">
      <alignment vertical="center"/>
    </xf>
    <xf numFmtId="1" fontId="7" fillId="0" borderId="10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3" fontId="15" fillId="0" borderId="10" xfId="0" applyNumberFormat="1" applyFont="1" applyBorder="1" applyAlignment="1">
      <alignment vertical="center"/>
    </xf>
    <xf numFmtId="3" fontId="14" fillId="0" borderId="10" xfId="0" applyNumberFormat="1" applyFont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0" fillId="0" borderId="0" xfId="0" applyFont="1" applyAlignment="1"/>
    <xf numFmtId="164" fontId="5" fillId="0" borderId="10" xfId="0" applyNumberFormat="1" applyFont="1" applyFill="1" applyBorder="1" applyAlignment="1" applyProtection="1">
      <alignment vertical="center"/>
      <protection locked="0"/>
    </xf>
    <xf numFmtId="3" fontId="6" fillId="0" borderId="16" xfId="0" applyNumberFormat="1" applyFont="1" applyFill="1" applyBorder="1" applyAlignment="1">
      <alignment vertical="center"/>
    </xf>
    <xf numFmtId="3" fontId="5" fillId="0" borderId="10" xfId="1" applyNumberFormat="1" applyFont="1" applyFill="1" applyBorder="1" applyAlignment="1">
      <alignment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3" fontId="8" fillId="0" borderId="10" xfId="1" applyNumberFormat="1" applyFont="1" applyFill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3" fontId="7" fillId="0" borderId="10" xfId="0" applyNumberFormat="1" applyFont="1" applyFill="1" applyBorder="1" applyAlignment="1">
      <alignment vertical="center" wrapText="1"/>
    </xf>
    <xf numFmtId="164" fontId="6" fillId="0" borderId="10" xfId="1" applyNumberFormat="1" applyFont="1" applyFill="1" applyBorder="1" applyAlignment="1">
      <alignment vertical="center" wrapText="1"/>
    </xf>
    <xf numFmtId="3" fontId="6" fillId="0" borderId="10" xfId="0" applyNumberFormat="1" applyFont="1" applyBorder="1" applyAlignment="1">
      <alignment vertical="center"/>
    </xf>
    <xf numFmtId="3" fontId="6" fillId="0" borderId="10" xfId="1" applyNumberFormat="1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0" fontId="6" fillId="0" borderId="10" xfId="0" applyFont="1" applyBorder="1"/>
    <xf numFmtId="164" fontId="7" fillId="0" borderId="3" xfId="0" applyNumberFormat="1" applyFont="1" applyFill="1" applyBorder="1" applyAlignment="1">
      <alignment vertical="center"/>
    </xf>
    <xf numFmtId="3" fontId="6" fillId="0" borderId="10" xfId="0" applyNumberFormat="1" applyFont="1" applyBorder="1"/>
    <xf numFmtId="49" fontId="6" fillId="0" borderId="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164" fontId="12" fillId="0" borderId="3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vertical="center"/>
    </xf>
    <xf numFmtId="164" fontId="7" fillId="0" borderId="24" xfId="0" applyNumberFormat="1" applyFont="1" applyFill="1" applyBorder="1" applyAlignment="1">
      <alignment vertical="center"/>
    </xf>
    <xf numFmtId="165" fontId="6" fillId="0" borderId="17" xfId="1" applyNumberFormat="1" applyFont="1" applyFill="1" applyBorder="1" applyAlignment="1">
      <alignment vertical="center"/>
    </xf>
    <xf numFmtId="165" fontId="6" fillId="0" borderId="12" xfId="1" applyNumberFormat="1" applyFont="1" applyFill="1" applyBorder="1" applyAlignment="1">
      <alignment vertical="center"/>
    </xf>
    <xf numFmtId="164" fontId="19" fillId="0" borderId="3" xfId="0" applyNumberFormat="1" applyFont="1" applyFill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15" fillId="0" borderId="16" xfId="0" applyNumberFormat="1" applyFont="1" applyFill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3" fontId="15" fillId="0" borderId="16" xfId="0" applyNumberFormat="1" applyFont="1" applyBorder="1" applyAlignment="1">
      <alignment vertical="center"/>
    </xf>
    <xf numFmtId="3" fontId="14" fillId="0" borderId="16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4" fontId="5" fillId="0" borderId="24" xfId="0" applyNumberFormat="1" applyFont="1" applyBorder="1" applyAlignment="1">
      <alignment vertical="center"/>
    </xf>
    <xf numFmtId="164" fontId="15" fillId="0" borderId="24" xfId="0" applyNumberFormat="1" applyFont="1" applyFill="1" applyBorder="1" applyAlignment="1">
      <alignment vertical="center"/>
    </xf>
    <xf numFmtId="164" fontId="15" fillId="0" borderId="24" xfId="0" applyNumberFormat="1" applyFont="1" applyBorder="1" applyAlignment="1">
      <alignment vertical="center"/>
    </xf>
    <xf numFmtId="164" fontId="14" fillId="0" borderId="24" xfId="0" applyNumberFormat="1" applyFont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3" fontId="15" fillId="0" borderId="3" xfId="0" applyNumberFormat="1" applyFont="1" applyFill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3" fontId="9" fillId="0" borderId="12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vertical="center"/>
    </xf>
    <xf numFmtId="164" fontId="15" fillId="0" borderId="3" xfId="0" applyNumberFormat="1" applyFont="1" applyFill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19" fillId="0" borderId="10" xfId="0" applyNumberFormat="1" applyFont="1" applyFill="1" applyBorder="1" applyAlignment="1">
      <alignment vertical="center"/>
    </xf>
    <xf numFmtId="3" fontId="19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8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3" fontId="7" fillId="0" borderId="10" xfId="0" applyNumberFormat="1" applyFont="1" applyBorder="1"/>
    <xf numFmtId="3" fontId="8" fillId="0" borderId="16" xfId="0" applyNumberFormat="1" applyFont="1" applyFill="1" applyBorder="1" applyAlignment="1">
      <alignment vertical="center" wrapText="1"/>
    </xf>
    <xf numFmtId="3" fontId="5" fillId="0" borderId="16" xfId="1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vertical="center"/>
    </xf>
    <xf numFmtId="3" fontId="21" fillId="0" borderId="16" xfId="0" applyNumberFormat="1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164" fontId="21" fillId="0" borderId="3" xfId="0" applyNumberFormat="1" applyFont="1" applyFill="1" applyBorder="1" applyAlignment="1">
      <alignment vertical="center"/>
    </xf>
    <xf numFmtId="0" fontId="21" fillId="0" borderId="16" xfId="0" applyFont="1" applyFill="1" applyBorder="1" applyAlignment="1">
      <alignment vertical="center" wrapText="1"/>
    </xf>
    <xf numFmtId="0" fontId="23" fillId="0" borderId="16" xfId="0" quotePrefix="1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3" fontId="22" fillId="0" borderId="10" xfId="0" applyNumberFormat="1" applyFont="1" applyFill="1" applyBorder="1" applyAlignment="1">
      <alignment vertical="center"/>
    </xf>
    <xf numFmtId="164" fontId="21" fillId="3" borderId="3" xfId="0" applyNumberFormat="1" applyFont="1" applyFill="1" applyBorder="1" applyAlignment="1">
      <alignment vertical="center"/>
    </xf>
    <xf numFmtId="3" fontId="21" fillId="2" borderId="10" xfId="0" applyNumberFormat="1" applyFont="1" applyFill="1" applyBorder="1" applyAlignment="1">
      <alignment vertical="center"/>
    </xf>
    <xf numFmtId="3" fontId="21" fillId="2" borderId="16" xfId="0" applyNumberFormat="1" applyFont="1" applyFill="1" applyBorder="1" applyAlignment="1">
      <alignment vertical="center"/>
    </xf>
    <xf numFmtId="164" fontId="21" fillId="2" borderId="3" xfId="0" applyNumberFormat="1" applyFont="1" applyFill="1" applyBorder="1" applyAlignment="1">
      <alignment vertical="center"/>
    </xf>
    <xf numFmtId="3" fontId="21" fillId="2" borderId="11" xfId="0" applyNumberFormat="1" applyFont="1" applyFill="1" applyBorder="1" applyAlignment="1">
      <alignment vertical="center"/>
    </xf>
    <xf numFmtId="3" fontId="25" fillId="0" borderId="10" xfId="0" applyNumberFormat="1" applyFont="1" applyFill="1" applyBorder="1" applyAlignment="1">
      <alignment vertical="center"/>
    </xf>
    <xf numFmtId="3" fontId="24" fillId="0" borderId="10" xfId="0" applyNumberFormat="1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3" fontId="22" fillId="2" borderId="10" xfId="0" applyNumberFormat="1" applyFont="1" applyFill="1" applyBorder="1" applyAlignment="1">
      <alignment vertical="center"/>
    </xf>
    <xf numFmtId="164" fontId="22" fillId="2" borderId="3" xfId="0" applyNumberFormat="1" applyFont="1" applyFill="1" applyBorder="1" applyAlignment="1">
      <alignment vertical="center"/>
    </xf>
    <xf numFmtId="0" fontId="22" fillId="0" borderId="32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vertical="center"/>
    </xf>
    <xf numFmtId="0" fontId="22" fillId="0" borderId="41" xfId="0" applyFont="1" applyFill="1" applyBorder="1" applyAlignment="1">
      <alignment vertical="center"/>
    </xf>
    <xf numFmtId="3" fontId="22" fillId="2" borderId="3" xfId="0" applyNumberFormat="1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3" fontId="21" fillId="0" borderId="4" xfId="0" applyNumberFormat="1" applyFont="1" applyFill="1" applyBorder="1" applyAlignment="1">
      <alignment vertical="center"/>
    </xf>
    <xf numFmtId="49" fontId="21" fillId="0" borderId="4" xfId="0" applyNumberFormat="1" applyFont="1" applyFill="1" applyBorder="1" applyAlignment="1">
      <alignment horizontal="right" vertical="center"/>
    </xf>
    <xf numFmtId="3" fontId="21" fillId="0" borderId="12" xfId="0" applyNumberFormat="1" applyFont="1" applyFill="1" applyBorder="1" applyAlignment="1">
      <alignment vertical="center"/>
    </xf>
    <xf numFmtId="3" fontId="22" fillId="0" borderId="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4" fontId="5" fillId="0" borderId="11" xfId="0" applyNumberFormat="1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49" fontId="5" fillId="0" borderId="12" xfId="1" applyNumberFormat="1" applyFont="1" applyFill="1" applyBorder="1" applyAlignment="1">
      <alignment vertical="center"/>
    </xf>
    <xf numFmtId="3" fontId="6" fillId="0" borderId="4" xfId="0" applyNumberFormat="1" applyFont="1" applyBorder="1"/>
    <xf numFmtId="0" fontId="6" fillId="0" borderId="4" xfId="0" applyFont="1" applyBorder="1"/>
    <xf numFmtId="0" fontId="6" fillId="0" borderId="11" xfId="0" applyFont="1" applyBorder="1"/>
    <xf numFmtId="3" fontId="6" fillId="0" borderId="11" xfId="0" applyNumberFormat="1" applyFont="1" applyBorder="1"/>
    <xf numFmtId="0" fontId="7" fillId="0" borderId="41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vertical="center" wrapText="1"/>
    </xf>
    <xf numFmtId="164" fontId="8" fillId="0" borderId="3" xfId="1" applyNumberFormat="1" applyFont="1" applyFill="1" applyBorder="1" applyAlignment="1">
      <alignment vertical="center" wrapText="1"/>
    </xf>
    <xf numFmtId="164" fontId="14" fillId="0" borderId="3" xfId="1" applyNumberFormat="1" applyFont="1" applyFill="1" applyBorder="1" applyAlignment="1">
      <alignment vertical="center" wrapText="1"/>
    </xf>
    <xf numFmtId="165" fontId="5" fillId="0" borderId="12" xfId="1" applyNumberFormat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vertical="center" wrapText="1"/>
    </xf>
    <xf numFmtId="3" fontId="8" fillId="0" borderId="3" xfId="1" applyNumberFormat="1" applyFont="1" applyFill="1" applyBorder="1" applyAlignment="1">
      <alignment vertical="center" wrapText="1"/>
    </xf>
    <xf numFmtId="3" fontId="14" fillId="0" borderId="3" xfId="1" applyNumberFormat="1" applyFont="1" applyFill="1" applyBorder="1" applyAlignment="1">
      <alignment vertical="center" wrapText="1"/>
    </xf>
    <xf numFmtId="164" fontId="5" fillId="0" borderId="12" xfId="1" applyNumberFormat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vertical="center" wrapText="1"/>
    </xf>
    <xf numFmtId="164" fontId="6" fillId="0" borderId="3" xfId="1" applyNumberFormat="1" applyFont="1" applyFill="1" applyBorder="1" applyAlignment="1">
      <alignment vertical="center" wrapText="1"/>
    </xf>
    <xf numFmtId="3" fontId="7" fillId="0" borderId="3" xfId="1" applyNumberFormat="1" applyFont="1" applyFill="1" applyBorder="1" applyAlignment="1">
      <alignment vertical="center" wrapText="1"/>
    </xf>
    <xf numFmtId="164" fontId="7" fillId="0" borderId="3" xfId="1" applyNumberFormat="1" applyFont="1" applyFill="1" applyBorder="1" applyAlignment="1">
      <alignment vertical="center" wrapText="1"/>
    </xf>
    <xf numFmtId="3" fontId="6" fillId="0" borderId="3" xfId="1" applyNumberFormat="1" applyFont="1" applyFill="1" applyBorder="1" applyAlignment="1">
      <alignment vertical="center" wrapText="1"/>
    </xf>
    <xf numFmtId="165" fontId="6" fillId="0" borderId="12" xfId="1" applyNumberFormat="1" applyFont="1" applyFill="1" applyBorder="1" applyAlignment="1">
      <alignment vertical="center" wrapText="1"/>
    </xf>
    <xf numFmtId="49" fontId="6" fillId="0" borderId="4" xfId="1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164" fontId="7" fillId="0" borderId="11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vertical="center"/>
    </xf>
    <xf numFmtId="165" fontId="6" fillId="0" borderId="13" xfId="1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7" fillId="0" borderId="24" xfId="0" applyNumberFormat="1" applyFont="1" applyFill="1" applyBorder="1" applyAlignment="1">
      <alignment vertical="center"/>
    </xf>
    <xf numFmtId="3" fontId="12" fillId="0" borderId="24" xfId="0" applyNumberFormat="1" applyFont="1" applyFill="1" applyBorder="1" applyAlignment="1">
      <alignment vertical="center"/>
    </xf>
    <xf numFmtId="3" fontId="7" fillId="0" borderId="16" xfId="0" applyNumberFormat="1" applyFont="1" applyFill="1" applyBorder="1" applyAlignment="1">
      <alignment vertical="center"/>
    </xf>
    <xf numFmtId="164" fontId="7" fillId="0" borderId="16" xfId="0" applyNumberFormat="1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165" fontId="6" fillId="0" borderId="14" xfId="1" applyNumberFormat="1" applyFont="1" applyFill="1" applyBorder="1" applyAlignment="1">
      <alignment vertical="center"/>
    </xf>
    <xf numFmtId="1" fontId="6" fillId="0" borderId="11" xfId="0" applyNumberFormat="1" applyFont="1" applyFill="1" applyBorder="1" applyAlignment="1">
      <alignment vertical="center"/>
    </xf>
    <xf numFmtId="3" fontId="6" fillId="0" borderId="51" xfId="0" applyNumberFormat="1" applyFont="1" applyFill="1" applyBorder="1" applyAlignment="1">
      <alignment vertical="center"/>
    </xf>
    <xf numFmtId="3" fontId="6" fillId="0" borderId="52" xfId="0" applyNumberFormat="1" applyFont="1" applyFill="1" applyBorder="1" applyAlignment="1">
      <alignment vertical="center"/>
    </xf>
    <xf numFmtId="3" fontId="6" fillId="0" borderId="25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164" fontId="9" fillId="0" borderId="4" xfId="0" applyNumberFormat="1" applyFont="1" applyBorder="1" applyAlignment="1">
      <alignment vertical="center"/>
    </xf>
    <xf numFmtId="164" fontId="9" fillId="0" borderId="13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vertical="center"/>
    </xf>
    <xf numFmtId="3" fontId="21" fillId="3" borderId="10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horizontal="center" vertical="center"/>
    </xf>
    <xf numFmtId="3" fontId="21" fillId="3" borderId="3" xfId="0" applyNumberFormat="1" applyFont="1" applyFill="1" applyBorder="1" applyAlignment="1">
      <alignment vertical="center"/>
    </xf>
    <xf numFmtId="165" fontId="21" fillId="3" borderId="12" xfId="1" applyNumberFormat="1" applyFont="1" applyFill="1" applyBorder="1" applyAlignment="1">
      <alignment vertical="center"/>
    </xf>
    <xf numFmtId="3" fontId="21" fillId="3" borderId="4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3" fontId="16" fillId="0" borderId="10" xfId="0" applyNumberFormat="1" applyFont="1" applyBorder="1" applyAlignment="1">
      <alignment vertical="center"/>
    </xf>
    <xf numFmtId="164" fontId="18" fillId="0" borderId="10" xfId="0" applyNumberFormat="1" applyFont="1" applyBorder="1" applyAlignment="1">
      <alignment vertical="center"/>
    </xf>
    <xf numFmtId="164" fontId="8" fillId="3" borderId="10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164" fontId="6" fillId="0" borderId="24" xfId="0" applyNumberFormat="1" applyFont="1" applyFill="1" applyBorder="1" applyAlignment="1">
      <alignment vertical="center"/>
    </xf>
    <xf numFmtId="164" fontId="12" fillId="0" borderId="24" xfId="0" applyNumberFormat="1" applyFont="1" applyFill="1" applyBorder="1" applyAlignment="1">
      <alignment vertical="center"/>
    </xf>
    <xf numFmtId="164" fontId="6" fillId="0" borderId="16" xfId="0" applyNumberFormat="1" applyFont="1" applyFill="1" applyBorder="1" applyAlignment="1">
      <alignment vertical="center"/>
    </xf>
    <xf numFmtId="164" fontId="12" fillId="0" borderId="16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164" fontId="19" fillId="0" borderId="10" xfId="0" applyNumberFormat="1" applyFont="1" applyFill="1" applyBorder="1" applyAlignment="1">
      <alignment vertical="center"/>
    </xf>
    <xf numFmtId="164" fontId="19" fillId="0" borderId="16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vertical="center"/>
    </xf>
    <xf numFmtId="3" fontId="6" fillId="2" borderId="10" xfId="0" applyNumberFormat="1" applyFont="1" applyFill="1" applyBorder="1" applyAlignment="1">
      <alignment vertical="center"/>
    </xf>
    <xf numFmtId="3" fontId="26" fillId="0" borderId="10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165" fontId="6" fillId="0" borderId="10" xfId="1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0" fontId="0" fillId="0" borderId="53" xfId="0" applyBorder="1" applyAlignment="1">
      <alignment wrapText="1"/>
    </xf>
    <xf numFmtId="49" fontId="6" fillId="0" borderId="31" xfId="1" applyNumberFormat="1" applyFont="1" applyFill="1" applyBorder="1" applyAlignment="1">
      <alignment vertical="center"/>
    </xf>
    <xf numFmtId="49" fontId="6" fillId="0" borderId="31" xfId="0" applyNumberFormat="1" applyFont="1" applyFill="1" applyBorder="1" applyAlignment="1">
      <alignment vertical="center"/>
    </xf>
    <xf numFmtId="3" fontId="6" fillId="0" borderId="31" xfId="0" applyNumberFormat="1" applyFont="1" applyBorder="1"/>
    <xf numFmtId="0" fontId="6" fillId="0" borderId="31" xfId="0" applyFont="1" applyBorder="1"/>
    <xf numFmtId="164" fontId="7" fillId="0" borderId="12" xfId="0" applyNumberFormat="1" applyFont="1" applyFill="1" applyBorder="1" applyAlignment="1">
      <alignment vertical="center"/>
    </xf>
    <xf numFmtId="164" fontId="6" fillId="0" borderId="4" xfId="0" applyNumberFormat="1" applyFont="1" applyFill="1" applyBorder="1" applyAlignment="1">
      <alignment vertical="center"/>
    </xf>
    <xf numFmtId="3" fontId="7" fillId="0" borderId="4" xfId="0" applyNumberFormat="1" applyFont="1" applyBorder="1"/>
    <xf numFmtId="3" fontId="5" fillId="0" borderId="16" xfId="0" applyNumberFormat="1" applyFont="1" applyFill="1" applyBorder="1" applyAlignment="1">
      <alignment vertical="center" wrapText="1"/>
    </xf>
    <xf numFmtId="164" fontId="5" fillId="0" borderId="16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Fill="1" applyBorder="1"/>
    <xf numFmtId="164" fontId="6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/>
    <xf numFmtId="1" fontId="6" fillId="0" borderId="10" xfId="0" applyNumberFormat="1" applyFont="1" applyFill="1" applyBorder="1"/>
    <xf numFmtId="49" fontId="6" fillId="0" borderId="12" xfId="1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vertical="center"/>
    </xf>
    <xf numFmtId="164" fontId="24" fillId="0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vertical="center"/>
    </xf>
    <xf numFmtId="3" fontId="6" fillId="0" borderId="3" xfId="0" applyNumberFormat="1" applyFont="1" applyFill="1" applyBorder="1" applyAlignment="1">
      <alignment horizontal="center" vertical="center"/>
    </xf>
    <xf numFmtId="164" fontId="8" fillId="0" borderId="55" xfId="0" applyNumberFormat="1" applyFont="1" applyBorder="1" applyAlignment="1">
      <alignment vertical="center"/>
    </xf>
    <xf numFmtId="164" fontId="9" fillId="0" borderId="31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164" fontId="9" fillId="0" borderId="14" xfId="0" applyNumberFormat="1" applyFont="1" applyBorder="1" applyAlignment="1">
      <alignment vertical="center"/>
    </xf>
    <xf numFmtId="3" fontId="14" fillId="0" borderId="24" xfId="0" applyNumberFormat="1" applyFont="1" applyFill="1" applyBorder="1" applyAlignment="1">
      <alignment vertical="center"/>
    </xf>
    <xf numFmtId="164" fontId="15" fillId="0" borderId="3" xfId="0" applyNumberFormat="1" applyFont="1" applyBorder="1" applyAlignment="1">
      <alignment vertical="center"/>
    </xf>
    <xf numFmtId="164" fontId="9" fillId="0" borderId="34" xfId="0" applyNumberFormat="1" applyFont="1" applyBorder="1" applyAlignment="1">
      <alignment vertical="center"/>
    </xf>
    <xf numFmtId="164" fontId="9" fillId="0" borderId="51" xfId="0" applyNumberFormat="1" applyFont="1" applyBorder="1" applyAlignment="1">
      <alignment vertical="center"/>
    </xf>
    <xf numFmtId="164" fontId="9" fillId="0" borderId="52" xfId="0" applyNumberFormat="1" applyFont="1" applyBorder="1" applyAlignment="1">
      <alignment vertical="center"/>
    </xf>
    <xf numFmtId="164" fontId="9" fillId="0" borderId="25" xfId="0" applyNumberFormat="1" applyFont="1" applyBorder="1" applyAlignment="1">
      <alignment vertical="center"/>
    </xf>
    <xf numFmtId="164" fontId="9" fillId="0" borderId="29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3" fontId="0" fillId="0" borderId="10" xfId="0" applyNumberFormat="1" applyFon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15" fillId="0" borderId="24" xfId="0" applyNumberFormat="1" applyFont="1" applyFill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4" fillId="0" borderId="24" xfId="0" applyNumberFormat="1" applyFont="1" applyBorder="1" applyAlignment="1">
      <alignment vertical="center"/>
    </xf>
    <xf numFmtId="3" fontId="9" fillId="0" borderId="17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3" fontId="6" fillId="0" borderId="24" xfId="0" applyNumberFormat="1" applyFont="1" applyBorder="1" applyAlignment="1">
      <alignment vertical="center"/>
    </xf>
    <xf numFmtId="164" fontId="6" fillId="0" borderId="24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164" fontId="6" fillId="0" borderId="17" xfId="1" applyNumberFormat="1" applyFont="1" applyBorder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64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/>
    <xf numFmtId="0" fontId="1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 wrapText="1"/>
    </xf>
    <xf numFmtId="0" fontId="22" fillId="3" borderId="44" xfId="0" applyFont="1" applyFill="1" applyBorder="1" applyAlignment="1">
      <alignment horizontal="center" vertical="center" wrapText="1"/>
    </xf>
    <xf numFmtId="0" fontId="22" fillId="3" borderId="45" xfId="0" applyFont="1" applyFill="1" applyBorder="1" applyAlignment="1">
      <alignment horizontal="center" vertical="center" wrapText="1"/>
    </xf>
    <xf numFmtId="0" fontId="22" fillId="3" borderId="46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3" fontId="6" fillId="0" borderId="44" xfId="0" applyNumberFormat="1" applyFont="1" applyFill="1" applyBorder="1" applyAlignment="1">
      <alignment horizontal="center" vertical="center" wrapText="1"/>
    </xf>
    <xf numFmtId="3" fontId="6" fillId="0" borderId="45" xfId="0" applyNumberFormat="1" applyFont="1" applyFill="1" applyBorder="1" applyAlignment="1">
      <alignment horizontal="center" vertical="center" wrapText="1"/>
    </xf>
    <xf numFmtId="3" fontId="6" fillId="0" borderId="46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 wrapText="1"/>
    </xf>
    <xf numFmtId="3" fontId="6" fillId="0" borderId="45" xfId="0" applyNumberFormat="1" applyFont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 wrapText="1"/>
    </xf>
    <xf numFmtId="3" fontId="6" fillId="0" borderId="34" xfId="0" applyNumberFormat="1" applyFont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 wrapText="1"/>
    </xf>
    <xf numFmtId="3" fontId="6" fillId="0" borderId="36" xfId="0" applyNumberFormat="1" applyFont="1" applyBorder="1" applyAlignment="1">
      <alignment horizontal="center" vertical="center" wrapText="1"/>
    </xf>
    <xf numFmtId="3" fontId="5" fillId="2" borderId="35" xfId="0" applyNumberFormat="1" applyFont="1" applyFill="1" applyBorder="1" applyAlignment="1">
      <alignment horizontal="center" vertical="center" wrapText="1"/>
    </xf>
    <xf numFmtId="3" fontId="5" fillId="2" borderId="42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3" fontId="6" fillId="0" borderId="26" xfId="0" applyNumberFormat="1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6" fillId="0" borderId="49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3" fontId="6" fillId="0" borderId="35" xfId="0" applyNumberFormat="1" applyFont="1" applyFill="1" applyBorder="1" applyAlignment="1">
      <alignment horizontal="center" vertical="center" wrapText="1"/>
    </xf>
    <xf numFmtId="3" fontId="6" fillId="0" borderId="42" xfId="0" applyNumberFormat="1" applyFont="1" applyFill="1" applyBorder="1" applyAlignment="1">
      <alignment horizontal="center" vertical="center" wrapText="1"/>
    </xf>
    <xf numFmtId="3" fontId="6" fillId="0" borderId="36" xfId="0" applyNumberFormat="1" applyFont="1" applyFill="1" applyBorder="1" applyAlignment="1">
      <alignment horizontal="center" vertical="center" wrapText="1"/>
    </xf>
    <xf numFmtId="3" fontId="6" fillId="0" borderId="49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6" fillId="0" borderId="48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umok/Abony/2016/k&#246;lts&#233;gvet&#233;s/K&#246;lts&#233;gvet&#233;s%20tervez&#233;s/7_sz_fuggelek_hivatal_munkalapok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umok/Abony/2016/k&#246;lts&#233;gvet&#233;s/K&#246;lts&#233;gvet&#233;s%20tervez&#233;s/8_sz_fuggelek_onkormanyzat_munkalapok_2016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umok/Abony/2016/k&#246;lts&#233;gvet&#233;s/K&#246;lts&#233;gvet&#233;s%20tervez&#233;s/1_sz_fuggelek_kostyan_munkalapok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umok/Abony/2016/k&#246;lts&#233;gvet&#233;s/K&#246;lts&#233;gvet&#233;s%20tervez&#233;s/5_sz_fuggelek_sportcsarnok_munkalapok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umok/Abony/2016/k&#246;lts&#233;gvet&#233;s/K&#246;lts&#233;gvet&#233;s%20tervez&#233;s/2_sz_fuggelek_gyongyszemek_munkalapok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umok/Abony/2016/k&#246;lts&#233;gvet&#233;s/K&#246;lts&#233;gvet&#233;s%20tervez&#233;s/4_sz_fuggelek_pingvines_munkalapok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ktgv kiadás_01"/>
      <sheetName val="2016 ktgv bevétel_02"/>
      <sheetName val="2016 finanszírozási kiadás_03"/>
      <sheetName val="2016 finanszírozási bevétel_04"/>
      <sheetName val="2016 összesítő"/>
    </sheetNames>
    <sheetDataSet>
      <sheetData sheetId="0">
        <row r="56">
          <cell r="M56">
            <v>0</v>
          </cell>
          <cell r="O56">
            <v>0</v>
          </cell>
        </row>
        <row r="65">
          <cell r="O65">
            <v>0</v>
          </cell>
        </row>
        <row r="66">
          <cell r="M66">
            <v>0</v>
          </cell>
        </row>
        <row r="162">
          <cell r="M162">
            <v>0</v>
          </cell>
          <cell r="O162">
            <v>0</v>
          </cell>
        </row>
        <row r="171">
          <cell r="I171">
            <v>0</v>
          </cell>
          <cell r="M171">
            <v>0</v>
          </cell>
        </row>
        <row r="187">
          <cell r="I187">
            <v>0</v>
          </cell>
          <cell r="M187">
            <v>0</v>
          </cell>
          <cell r="O187">
            <v>0</v>
          </cell>
        </row>
        <row r="188">
          <cell r="I188">
            <v>0</v>
          </cell>
          <cell r="M188">
            <v>0</v>
          </cell>
          <cell r="O188">
            <v>0</v>
          </cell>
        </row>
        <row r="205">
          <cell r="I205">
            <v>0</v>
          </cell>
          <cell r="M205">
            <v>0</v>
          </cell>
          <cell r="O205">
            <v>0</v>
          </cell>
        </row>
        <row r="213">
          <cell r="I213">
            <v>0</v>
          </cell>
          <cell r="M213">
            <v>0</v>
          </cell>
          <cell r="O213">
            <v>0</v>
          </cell>
        </row>
        <row r="223">
          <cell r="I223">
            <v>0</v>
          </cell>
          <cell r="M223">
            <v>0</v>
          </cell>
          <cell r="O223">
            <v>0</v>
          </cell>
        </row>
      </sheetData>
      <sheetData sheetId="1">
        <row r="19">
          <cell r="G19">
            <v>0</v>
          </cell>
          <cell r="I19">
            <v>0</v>
          </cell>
        </row>
        <row r="29">
          <cell r="I29">
            <v>0</v>
          </cell>
        </row>
        <row r="43">
          <cell r="I43">
            <v>0</v>
          </cell>
        </row>
        <row r="75">
          <cell r="I75">
            <v>0</v>
          </cell>
        </row>
        <row r="85">
          <cell r="I85">
            <v>0</v>
          </cell>
        </row>
        <row r="95">
          <cell r="I95">
            <v>0</v>
          </cell>
        </row>
      </sheetData>
      <sheetData sheetId="2"/>
      <sheetData sheetId="3">
        <row r="14">
          <cell r="E14">
            <v>600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ktgv kiadás_01"/>
      <sheetName val="2016 ktgv bevétel_02"/>
      <sheetName val="2016 finanszírozási kiadás_03"/>
      <sheetName val="2016 finanszírozási bevétel_04"/>
      <sheetName val="2016 összesítő"/>
      <sheetName val="Pályázatok"/>
    </sheetNames>
    <sheetDataSet>
      <sheetData sheetId="0" refreshError="1">
        <row r="64">
          <cell r="G64">
            <v>150</v>
          </cell>
          <cell r="I64">
            <v>0</v>
          </cell>
          <cell r="O64">
            <v>0</v>
          </cell>
          <cell r="Q64">
            <v>0</v>
          </cell>
          <cell r="S64">
            <v>0</v>
          </cell>
          <cell r="U64">
            <v>0</v>
          </cell>
          <cell r="Y64">
            <v>0</v>
          </cell>
          <cell r="AA64">
            <v>0</v>
          </cell>
          <cell r="AK64">
            <v>0</v>
          </cell>
          <cell r="AM64">
            <v>0</v>
          </cell>
          <cell r="AO64">
            <v>0</v>
          </cell>
        </row>
        <row r="162">
          <cell r="Q162">
            <v>0</v>
          </cell>
          <cell r="Y162">
            <v>0</v>
          </cell>
        </row>
        <row r="207">
          <cell r="I207">
            <v>0</v>
          </cell>
        </row>
        <row r="224">
          <cell r="G224">
            <v>0</v>
          </cell>
        </row>
      </sheetData>
      <sheetData sheetId="1" refreshError="1">
        <row r="3">
          <cell r="AO3">
            <v>278045</v>
          </cell>
        </row>
        <row r="19">
          <cell r="G19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ktgv kiadás_01"/>
      <sheetName val="2016 ktgv bevétel_02"/>
      <sheetName val="2016 finanszírozási kiadás_03"/>
      <sheetName val="2016 finanszírozási bevétel_04"/>
      <sheetName val="2016 összesítő"/>
    </sheetNames>
    <sheetDataSet>
      <sheetData sheetId="0" refreshError="1">
        <row r="64">
          <cell r="G64">
            <v>0</v>
          </cell>
        </row>
        <row r="205">
          <cell r="G205">
            <v>0</v>
          </cell>
        </row>
      </sheetData>
      <sheetData sheetId="1" refreshError="1">
        <row r="14">
          <cell r="Q14">
            <v>170510</v>
          </cell>
        </row>
        <row r="19">
          <cell r="G19">
            <v>0</v>
          </cell>
        </row>
      </sheetData>
      <sheetData sheetId="2" refreshError="1"/>
      <sheetData sheetId="3">
        <row r="14">
          <cell r="E14">
            <v>6000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ktgv kiadás_01"/>
      <sheetName val="2016 ktgv bevétel_02"/>
      <sheetName val="2016 finanszírozási kiadás_03"/>
      <sheetName val="2016 finanszírozási bevétel_04"/>
      <sheetName val="2016 összesítő"/>
    </sheetNames>
    <sheetDataSet>
      <sheetData sheetId="0" refreshError="1">
        <row r="64">
          <cell r="G64">
            <v>5345.2</v>
          </cell>
        </row>
        <row r="212">
          <cell r="G212">
            <v>0</v>
          </cell>
        </row>
        <row r="222">
          <cell r="G222">
            <v>0</v>
          </cell>
        </row>
      </sheetData>
      <sheetData sheetId="1" refreshError="1">
        <row r="19">
          <cell r="G19">
            <v>0</v>
          </cell>
        </row>
      </sheetData>
      <sheetData sheetId="2" refreshError="1"/>
      <sheetData sheetId="3">
        <row r="14">
          <cell r="E14">
            <v>1000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ktgv kiadás_01"/>
      <sheetName val="2016 ktgv bevétel_02"/>
      <sheetName val="2016 finanszírozási kiadás_03"/>
      <sheetName val="2016 finanszírozási bevétel_04"/>
      <sheetName val="2016 összesítő"/>
    </sheetNames>
    <sheetDataSet>
      <sheetData sheetId="0" refreshError="1">
        <row r="64">
          <cell r="G64">
            <v>77696</v>
          </cell>
        </row>
        <row r="212">
          <cell r="G212">
            <v>0</v>
          </cell>
        </row>
      </sheetData>
      <sheetData sheetId="1" refreshError="1">
        <row r="45">
          <cell r="K45">
            <v>0</v>
          </cell>
        </row>
        <row r="69">
          <cell r="G69">
            <v>0</v>
          </cell>
        </row>
      </sheetData>
      <sheetData sheetId="2" refreshError="1"/>
      <sheetData sheetId="3">
        <row r="14">
          <cell r="E14">
            <v>500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ktgv kiadás_01"/>
      <sheetName val="2016 ktgv bevétel_02"/>
      <sheetName val="2016 finanszírozási kiadás_03"/>
      <sheetName val="2016 finanszírozási bevétel_04"/>
      <sheetName val="2016 összesítő"/>
    </sheetNames>
    <sheetDataSet>
      <sheetData sheetId="0" refreshError="1">
        <row r="64">
          <cell r="G64">
            <v>85044</v>
          </cell>
        </row>
        <row r="204">
          <cell r="G204">
            <v>0</v>
          </cell>
        </row>
        <row r="212">
          <cell r="G21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G55"/>
  <sheetViews>
    <sheetView view="pageBreakPreview" zoomScale="82" zoomScaleNormal="82" zoomScaleSheetLayoutView="82" workbookViewId="0">
      <selection sqref="A1:C1"/>
    </sheetView>
  </sheetViews>
  <sheetFormatPr defaultColWidth="9.140625" defaultRowHeight="12.75" x14ac:dyDescent="0.2"/>
  <cols>
    <col min="1" max="1" width="3.140625" style="1" bestFit="1" customWidth="1"/>
    <col min="2" max="2" width="42" style="1" customWidth="1"/>
    <col min="3" max="3" width="13.5703125" style="1" customWidth="1"/>
    <col min="4" max="5" width="9.5703125" style="1" customWidth="1"/>
    <col min="6" max="14" width="9.42578125" style="1" customWidth="1"/>
    <col min="15" max="15" width="12" style="1" bestFit="1" customWidth="1"/>
    <col min="16" max="17" width="9.42578125" style="1" customWidth="1"/>
    <col min="18" max="26" width="9.5703125" style="1" customWidth="1"/>
    <col min="27" max="29" width="9.42578125" style="1" customWidth="1"/>
    <col min="30" max="38" width="9.28515625" style="1" customWidth="1"/>
    <col min="39" max="39" width="12" style="1" bestFit="1" customWidth="1"/>
    <col min="40" max="41" width="8.7109375" style="1" customWidth="1"/>
    <col min="42" max="42" width="9.85546875" style="1" customWidth="1"/>
    <col min="43" max="43" width="10.85546875" style="1" customWidth="1"/>
    <col min="44" max="44" width="9.28515625" style="1" customWidth="1"/>
    <col min="45" max="45" width="11.7109375" style="1" customWidth="1"/>
    <col min="46" max="46" width="10.42578125" style="1" customWidth="1"/>
    <col min="47" max="48" width="9.140625" style="1"/>
    <col min="49" max="49" width="10.5703125" style="1" customWidth="1"/>
    <col min="50" max="50" width="10.42578125" style="1" customWidth="1"/>
    <col min="51" max="16384" width="9.140625" style="1"/>
  </cols>
  <sheetData>
    <row r="1" spans="1:50" x14ac:dyDescent="0.2">
      <c r="A1" s="428" t="s">
        <v>186</v>
      </c>
      <c r="B1" s="428"/>
      <c r="C1" s="428"/>
    </row>
    <row r="2" spans="1:50" x14ac:dyDescent="0.2">
      <c r="A2" s="429" t="s">
        <v>137</v>
      </c>
      <c r="B2" s="429"/>
      <c r="C2" s="429"/>
      <c r="D2" s="429"/>
      <c r="E2" s="103"/>
    </row>
    <row r="3" spans="1:50" x14ac:dyDescent="0.2">
      <c r="A3" s="430" t="s">
        <v>114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30"/>
      <c r="AN3" s="430"/>
      <c r="AO3" s="430"/>
      <c r="AP3" s="430"/>
    </row>
    <row r="4" spans="1:50" ht="13.5" thickBot="1" x14ac:dyDescent="0.25">
      <c r="B4" s="10"/>
      <c r="AP4" s="2" t="s">
        <v>0</v>
      </c>
    </row>
    <row r="5" spans="1:50" ht="13.9" customHeight="1" thickBot="1" x14ac:dyDescent="0.25">
      <c r="A5" s="418" t="s">
        <v>1</v>
      </c>
      <c r="B5" s="419"/>
      <c r="C5" s="424">
        <v>1</v>
      </c>
      <c r="D5" s="425"/>
      <c r="E5" s="426"/>
      <c r="F5" s="427"/>
      <c r="G5" s="170"/>
      <c r="H5" s="170"/>
      <c r="I5" s="170"/>
      <c r="J5" s="170"/>
      <c r="K5" s="170"/>
      <c r="L5" s="170"/>
      <c r="M5" s="170"/>
      <c r="N5" s="170"/>
      <c r="O5" s="434">
        <v>2</v>
      </c>
      <c r="P5" s="425"/>
      <c r="Q5" s="426"/>
      <c r="R5" s="426"/>
      <c r="S5" s="170"/>
      <c r="T5" s="170"/>
      <c r="U5" s="170"/>
      <c r="V5" s="170"/>
      <c r="W5" s="170"/>
      <c r="X5" s="170"/>
      <c r="Y5" s="170"/>
      <c r="Z5" s="170"/>
      <c r="AA5" s="432">
        <v>3</v>
      </c>
      <c r="AB5" s="433"/>
      <c r="AC5" s="433"/>
      <c r="AD5" s="433"/>
      <c r="AE5" s="390"/>
      <c r="AF5" s="390"/>
      <c r="AG5" s="390"/>
      <c r="AH5" s="390"/>
      <c r="AI5" s="390"/>
      <c r="AJ5" s="390"/>
      <c r="AK5" s="390"/>
      <c r="AL5" s="275"/>
      <c r="AM5" s="435" t="s">
        <v>37</v>
      </c>
      <c r="AN5" s="436"/>
      <c r="AO5" s="436"/>
      <c r="AP5" s="436"/>
      <c r="AQ5" s="436"/>
      <c r="AR5" s="436"/>
      <c r="AS5" s="436"/>
      <c r="AT5" s="436"/>
      <c r="AU5" s="436"/>
      <c r="AV5" s="436"/>
      <c r="AW5" s="436"/>
      <c r="AX5" s="437"/>
    </row>
    <row r="6" spans="1:50" s="3" customFormat="1" ht="26.25" customHeight="1" x14ac:dyDescent="0.2">
      <c r="A6" s="420"/>
      <c r="B6" s="421"/>
      <c r="C6" s="408" t="s">
        <v>58</v>
      </c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48" t="s">
        <v>65</v>
      </c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01" t="s">
        <v>38</v>
      </c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38"/>
      <c r="AN6" s="439"/>
      <c r="AO6" s="439"/>
      <c r="AP6" s="439"/>
      <c r="AQ6" s="439"/>
      <c r="AR6" s="439"/>
      <c r="AS6" s="439"/>
      <c r="AT6" s="439"/>
      <c r="AU6" s="439"/>
      <c r="AV6" s="439"/>
      <c r="AW6" s="439"/>
      <c r="AX6" s="440"/>
    </row>
    <row r="7" spans="1:50" ht="12.75" customHeight="1" x14ac:dyDescent="0.2">
      <c r="A7" s="420"/>
      <c r="B7" s="421"/>
      <c r="C7" s="417" t="s">
        <v>36</v>
      </c>
      <c r="D7" s="407" t="s">
        <v>131</v>
      </c>
      <c r="E7" s="407" t="s">
        <v>138</v>
      </c>
      <c r="F7" s="407" t="s">
        <v>139</v>
      </c>
      <c r="G7" s="407" t="s">
        <v>144</v>
      </c>
      <c r="H7" s="407" t="s">
        <v>145</v>
      </c>
      <c r="I7" s="407" t="s">
        <v>167</v>
      </c>
      <c r="J7" s="407" t="s">
        <v>168</v>
      </c>
      <c r="K7" s="407" t="s">
        <v>174</v>
      </c>
      <c r="L7" s="407" t="s">
        <v>175</v>
      </c>
      <c r="M7" s="410" t="s">
        <v>176</v>
      </c>
      <c r="N7" s="445" t="s">
        <v>177</v>
      </c>
      <c r="O7" s="420" t="s">
        <v>36</v>
      </c>
      <c r="P7" s="400" t="s">
        <v>131</v>
      </c>
      <c r="Q7" s="400" t="s">
        <v>138</v>
      </c>
      <c r="R7" s="400" t="s">
        <v>139</v>
      </c>
      <c r="S7" s="400" t="s">
        <v>150</v>
      </c>
      <c r="T7" s="400" t="s">
        <v>151</v>
      </c>
      <c r="U7" s="400" t="s">
        <v>167</v>
      </c>
      <c r="V7" s="400" t="s">
        <v>168</v>
      </c>
      <c r="W7" s="400" t="s">
        <v>174</v>
      </c>
      <c r="X7" s="400" t="s">
        <v>175</v>
      </c>
      <c r="Y7" s="403" t="s">
        <v>176</v>
      </c>
      <c r="Z7" s="405" t="s">
        <v>177</v>
      </c>
      <c r="AA7" s="420" t="s">
        <v>36</v>
      </c>
      <c r="AB7" s="400" t="s">
        <v>131</v>
      </c>
      <c r="AC7" s="400" t="s">
        <v>138</v>
      </c>
      <c r="AD7" s="400" t="s">
        <v>139</v>
      </c>
      <c r="AE7" s="400" t="s">
        <v>144</v>
      </c>
      <c r="AF7" s="400" t="s">
        <v>145</v>
      </c>
      <c r="AG7" s="400" t="s">
        <v>167</v>
      </c>
      <c r="AH7" s="400" t="s">
        <v>168</v>
      </c>
      <c r="AI7" s="400" t="s">
        <v>174</v>
      </c>
      <c r="AJ7" s="400" t="s">
        <v>175</v>
      </c>
      <c r="AK7" s="403" t="s">
        <v>184</v>
      </c>
      <c r="AL7" s="405" t="s">
        <v>177</v>
      </c>
      <c r="AM7" s="431" t="s">
        <v>36</v>
      </c>
      <c r="AN7" s="412" t="s">
        <v>131</v>
      </c>
      <c r="AO7" s="412" t="s">
        <v>138</v>
      </c>
      <c r="AP7" s="412" t="s">
        <v>139</v>
      </c>
      <c r="AQ7" s="412" t="s">
        <v>144</v>
      </c>
      <c r="AR7" s="412" t="s">
        <v>145</v>
      </c>
      <c r="AS7" s="447" t="s">
        <v>167</v>
      </c>
      <c r="AT7" s="447" t="s">
        <v>168</v>
      </c>
      <c r="AU7" s="447" t="s">
        <v>174</v>
      </c>
      <c r="AV7" s="447" t="s">
        <v>175</v>
      </c>
      <c r="AW7" s="441" t="s">
        <v>176</v>
      </c>
      <c r="AX7" s="443" t="s">
        <v>177</v>
      </c>
    </row>
    <row r="8" spans="1:50" ht="27" customHeight="1" thickBot="1" x14ac:dyDescent="0.25">
      <c r="A8" s="422"/>
      <c r="B8" s="423"/>
      <c r="C8" s="417"/>
      <c r="D8" s="407"/>
      <c r="E8" s="407"/>
      <c r="F8" s="407"/>
      <c r="G8" s="407"/>
      <c r="H8" s="407"/>
      <c r="I8" s="407"/>
      <c r="J8" s="407"/>
      <c r="K8" s="407"/>
      <c r="L8" s="407"/>
      <c r="M8" s="411"/>
      <c r="N8" s="446"/>
      <c r="O8" s="420"/>
      <c r="P8" s="400"/>
      <c r="Q8" s="400"/>
      <c r="R8" s="400"/>
      <c r="S8" s="400"/>
      <c r="T8" s="400"/>
      <c r="U8" s="400"/>
      <c r="V8" s="400"/>
      <c r="W8" s="400"/>
      <c r="X8" s="400"/>
      <c r="Y8" s="404"/>
      <c r="Z8" s="406"/>
      <c r="AA8" s="420"/>
      <c r="AB8" s="400"/>
      <c r="AC8" s="400"/>
      <c r="AD8" s="400"/>
      <c r="AE8" s="400"/>
      <c r="AF8" s="400"/>
      <c r="AG8" s="400"/>
      <c r="AH8" s="400"/>
      <c r="AI8" s="400"/>
      <c r="AJ8" s="400"/>
      <c r="AK8" s="404"/>
      <c r="AL8" s="406"/>
      <c r="AM8" s="431"/>
      <c r="AN8" s="412"/>
      <c r="AO8" s="412"/>
      <c r="AP8" s="412"/>
      <c r="AQ8" s="412"/>
      <c r="AR8" s="412"/>
      <c r="AS8" s="447"/>
      <c r="AT8" s="447"/>
      <c r="AU8" s="447"/>
      <c r="AV8" s="447"/>
      <c r="AW8" s="442"/>
      <c r="AX8" s="444"/>
    </row>
    <row r="9" spans="1:50" ht="13.5" thickBot="1" x14ac:dyDescent="0.25">
      <c r="A9" s="415">
        <v>1</v>
      </c>
      <c r="B9" s="416"/>
      <c r="C9" s="20">
        <v>2</v>
      </c>
      <c r="D9" s="312">
        <v>3</v>
      </c>
      <c r="E9" s="312">
        <v>4</v>
      </c>
      <c r="F9" s="312">
        <v>5</v>
      </c>
      <c r="G9" s="312"/>
      <c r="H9" s="312"/>
      <c r="I9" s="312"/>
      <c r="J9" s="312"/>
      <c r="K9" s="312"/>
      <c r="L9" s="312"/>
      <c r="M9" s="312"/>
      <c r="N9" s="355"/>
      <c r="O9" s="173">
        <v>6</v>
      </c>
      <c r="P9" s="171">
        <v>7</v>
      </c>
      <c r="Q9" s="171">
        <v>8</v>
      </c>
      <c r="R9" s="171">
        <v>9</v>
      </c>
      <c r="S9" s="171"/>
      <c r="T9" s="171"/>
      <c r="U9" s="171"/>
      <c r="V9" s="171"/>
      <c r="W9" s="171"/>
      <c r="X9" s="171"/>
      <c r="Y9" s="171"/>
      <c r="Z9" s="172"/>
      <c r="AA9" s="173">
        <v>10</v>
      </c>
      <c r="AB9" s="171">
        <v>11</v>
      </c>
      <c r="AC9" s="171">
        <v>12</v>
      </c>
      <c r="AD9" s="171">
        <v>13</v>
      </c>
      <c r="AE9" s="171"/>
      <c r="AF9" s="171"/>
      <c r="AG9" s="171"/>
      <c r="AH9" s="171"/>
      <c r="AI9" s="171"/>
      <c r="AJ9" s="171"/>
      <c r="AK9" s="171"/>
      <c r="AL9" s="172"/>
      <c r="AM9" s="280">
        <v>14</v>
      </c>
      <c r="AN9" s="276">
        <v>15</v>
      </c>
      <c r="AO9" s="276">
        <v>16</v>
      </c>
      <c r="AP9" s="276">
        <v>17</v>
      </c>
      <c r="AQ9" s="277"/>
      <c r="AR9" s="278"/>
      <c r="AS9" s="278"/>
      <c r="AT9" s="278"/>
      <c r="AU9" s="278"/>
      <c r="AV9" s="278"/>
      <c r="AW9" s="391"/>
      <c r="AX9" s="392"/>
    </row>
    <row r="10" spans="1:50" x14ac:dyDescent="0.2">
      <c r="A10" s="413" t="s">
        <v>57</v>
      </c>
      <c r="B10" s="414"/>
      <c r="C10" s="10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5"/>
      <c r="O10" s="176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5"/>
      <c r="AA10" s="176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5"/>
      <c r="AM10" s="281"/>
      <c r="AN10" s="279"/>
      <c r="AO10" s="279"/>
      <c r="AP10" s="279"/>
      <c r="AQ10" s="278"/>
      <c r="AR10" s="278"/>
      <c r="AS10" s="278"/>
      <c r="AT10" s="278"/>
      <c r="AU10" s="278"/>
      <c r="AV10" s="278"/>
      <c r="AW10" s="391"/>
      <c r="AX10" s="392"/>
    </row>
    <row r="11" spans="1:50" x14ac:dyDescent="0.2">
      <c r="A11" s="177" t="s">
        <v>2</v>
      </c>
      <c r="B11" s="178" t="s">
        <v>3</v>
      </c>
      <c r="C11" s="50">
        <f>Hivatal!AA9</f>
        <v>160666164</v>
      </c>
      <c r="D11" s="12">
        <v>4639</v>
      </c>
      <c r="E11" s="12"/>
      <c r="F11" s="12">
        <v>165305</v>
      </c>
      <c r="G11" s="12">
        <f>Hivatal!AD9</f>
        <v>133</v>
      </c>
      <c r="H11" s="12">
        <f>SUM(F11:G11)</f>
        <v>165438</v>
      </c>
      <c r="I11" s="12">
        <f>Hivatal!AF9</f>
        <v>62</v>
      </c>
      <c r="J11" s="12">
        <f>SUM(H11:I11)</f>
        <v>165500</v>
      </c>
      <c r="K11" s="12">
        <f>Hivatal!AH9</f>
        <v>124</v>
      </c>
      <c r="L11" s="12">
        <f>SUM(J11:K11)</f>
        <v>165624</v>
      </c>
      <c r="M11" s="113">
        <f>Hivatal!AJ9</f>
        <v>6</v>
      </c>
      <c r="N11" s="105">
        <f>SUM(L11:M11)</f>
        <v>165630</v>
      </c>
      <c r="O11" s="179">
        <f>Kostyán!AO9+Sportcs.!H9+Könyvtár!BH9+Gyöngysz.!AC9+Szivárvány!AM9+Pingvines!AK9</f>
        <v>421354998</v>
      </c>
      <c r="P11" s="174">
        <v>1928</v>
      </c>
      <c r="Q11" s="174">
        <v>1315</v>
      </c>
      <c r="R11" s="174">
        <f>423283+Q11</f>
        <v>424598</v>
      </c>
      <c r="S11" s="174">
        <f>Kostyán!AR9+Könyvtár!BK9+Gyöngysz.!AG9+Szivárvány!AP9+Pingvines!AN9</f>
        <v>103</v>
      </c>
      <c r="T11" s="174">
        <f>SUM(R11:S11)</f>
        <v>424701</v>
      </c>
      <c r="U11" s="174">
        <f>Könyvtár!BM9+Gyöngysz.!AI9+Szivárvány!AR9+Pingvines!AP9</f>
        <v>2451</v>
      </c>
      <c r="V11" s="174">
        <f>SUM(T11:U11)</f>
        <v>427152</v>
      </c>
      <c r="W11" s="174">
        <f>Szivárvány!AT9+Pingvines!AR9+Gyöngysz.!AK9+Könyvtár!BO9</f>
        <v>1399</v>
      </c>
      <c r="X11" s="174">
        <f>SUM(V11:W11)</f>
        <v>428551</v>
      </c>
      <c r="Y11" s="174">
        <f>Kostyán!AV9+Könyvtár!BQ9+Sportcs.!K9+Gyöngysz.!AM9+Szivárvány!AV9+Pingvines!AT9</f>
        <v>204</v>
      </c>
      <c r="Z11" s="175">
        <f>SUM(X11:Y11)</f>
        <v>428755</v>
      </c>
      <c r="AA11" s="179">
        <f>'Város '!GN9</f>
        <v>38300892</v>
      </c>
      <c r="AB11" s="174">
        <f>'Város '!GO9</f>
        <v>141</v>
      </c>
      <c r="AC11" s="174">
        <v>315</v>
      </c>
      <c r="AD11" s="174">
        <v>38757</v>
      </c>
      <c r="AE11" s="174">
        <f>'Város '!GR9</f>
        <v>0</v>
      </c>
      <c r="AF11" s="174">
        <f>SUM(AD11:AE11)</f>
        <v>38757</v>
      </c>
      <c r="AG11" s="174">
        <f>'Város '!GT9</f>
        <v>0</v>
      </c>
      <c r="AH11" s="174">
        <f>SUM(AF11:AG11)</f>
        <v>38757</v>
      </c>
      <c r="AI11" s="174">
        <f>'Város '!GV9</f>
        <v>0</v>
      </c>
      <c r="AJ11" s="174">
        <f>SUM(AH11:AI11)</f>
        <v>38757</v>
      </c>
      <c r="AK11" s="174">
        <f>'Város '!GX9</f>
        <v>-131</v>
      </c>
      <c r="AL11" s="175">
        <f>SUM(AJ11:AK11)</f>
        <v>38626</v>
      </c>
      <c r="AM11" s="184">
        <f>C11+O11+AA11</f>
        <v>620322054</v>
      </c>
      <c r="AN11" s="279">
        <f>D11+P11+AB11</f>
        <v>6708</v>
      </c>
      <c r="AO11" s="279">
        <f>Q11+AC11</f>
        <v>1630</v>
      </c>
      <c r="AP11" s="279">
        <f>F11+R11+AD11</f>
        <v>628660</v>
      </c>
      <c r="AQ11" s="279">
        <f>G11+S11+AE11</f>
        <v>236</v>
      </c>
      <c r="AR11" s="279">
        <f>SUM(AP11:AQ11)</f>
        <v>628896</v>
      </c>
      <c r="AS11" s="279">
        <f>I11+U11+AG11</f>
        <v>2513</v>
      </c>
      <c r="AT11" s="279">
        <f>SUM(AR11:AS11)</f>
        <v>631409</v>
      </c>
      <c r="AU11" s="279">
        <f>K11+W11+AI11</f>
        <v>1523</v>
      </c>
      <c r="AV11" s="279">
        <f>SUM(AT11:AU11)</f>
        <v>632932</v>
      </c>
      <c r="AW11" s="393">
        <f>M11+Y11+AK11</f>
        <v>79</v>
      </c>
      <c r="AX11" s="394">
        <f>SUM(AV11:AW11)</f>
        <v>633011</v>
      </c>
    </row>
    <row r="12" spans="1:50" ht="23.25" customHeight="1" x14ac:dyDescent="0.2">
      <c r="A12" s="177" t="s">
        <v>4</v>
      </c>
      <c r="B12" s="180" t="s">
        <v>39</v>
      </c>
      <c r="C12" s="50">
        <f>Hivatal!AA10</f>
        <v>32870183</v>
      </c>
      <c r="D12" s="12">
        <v>705</v>
      </c>
      <c r="E12" s="12"/>
      <c r="F12" s="12">
        <v>33575</v>
      </c>
      <c r="G12" s="12">
        <f>Hivatal!AD10</f>
        <v>25</v>
      </c>
      <c r="H12" s="12">
        <f t="shared" ref="H12:H24" si="0">SUM(F12:G12)</f>
        <v>33600</v>
      </c>
      <c r="I12" s="12">
        <f>Hivatal!AF10</f>
        <v>12</v>
      </c>
      <c r="J12" s="12">
        <f t="shared" ref="J12:J45" si="1">SUM(H12:I12)</f>
        <v>33612</v>
      </c>
      <c r="K12" s="12">
        <f>Hivatal!AH10</f>
        <v>24</v>
      </c>
      <c r="L12" s="12">
        <f t="shared" ref="L12:L24" si="2">SUM(J12:K12)</f>
        <v>33636</v>
      </c>
      <c r="M12" s="113">
        <f>Hivatal!AJ10</f>
        <v>140</v>
      </c>
      <c r="N12" s="105">
        <f t="shared" ref="N12:N24" si="3">SUM(L12:M12)</f>
        <v>33776</v>
      </c>
      <c r="O12" s="179">
        <f>Kostyán!AO10+Sportcs.!H10+Könyvtár!BH10+Gyöngysz.!AC10+Szivárvány!AM10+Pingvines!AK10</f>
        <v>82368584</v>
      </c>
      <c r="P12" s="174">
        <v>219</v>
      </c>
      <c r="Q12" s="174">
        <v>257</v>
      </c>
      <c r="R12" s="174">
        <f>82588+Q12</f>
        <v>82845</v>
      </c>
      <c r="S12" s="174">
        <f>Kostyán!AR10+Könyvtár!BK10+Gyöngysz.!AG10+Szivárvány!AP10+Pingvines!AN10</f>
        <v>20</v>
      </c>
      <c r="T12" s="174">
        <f t="shared" ref="T12:T44" si="4">SUM(R12:S12)</f>
        <v>82865</v>
      </c>
      <c r="U12" s="174">
        <f>Könyvtár!BM10+Gyöngysz.!AI10+Szivárvány!AR10+Pingvines!AP10</f>
        <v>250</v>
      </c>
      <c r="V12" s="174">
        <f t="shared" ref="V12:V45" si="5">SUM(T12:U12)</f>
        <v>83115</v>
      </c>
      <c r="W12" s="174">
        <f>Szivárvány!AT10+Pingvines!AR10+Gyöngysz.!AK10+Könyvtár!BO10</f>
        <v>273</v>
      </c>
      <c r="X12" s="174">
        <f t="shared" ref="X12:X45" si="6">SUM(V12:W12)</f>
        <v>83388</v>
      </c>
      <c r="Y12" s="174">
        <f>Kostyán!AV10+Könyvtár!BQ10+Sportcs.!K10+Gyöngysz.!AM10+Szivárvány!AV10+Pingvines!AT10</f>
        <v>1348</v>
      </c>
      <c r="Z12" s="175">
        <f t="shared" ref="Z12:Z45" si="7">SUM(X12:Y12)</f>
        <v>84736</v>
      </c>
      <c r="AA12" s="179">
        <f>'Város '!GN10</f>
        <v>7473924</v>
      </c>
      <c r="AB12" s="174">
        <f>'Város '!GO10</f>
        <v>2</v>
      </c>
      <c r="AC12" s="174">
        <v>62</v>
      </c>
      <c r="AD12" s="174">
        <v>7538</v>
      </c>
      <c r="AE12" s="174">
        <f>'Város '!GR10</f>
        <v>0</v>
      </c>
      <c r="AF12" s="174">
        <f t="shared" ref="AF12:AF26" si="8">SUM(AD12:AE12)</f>
        <v>7538</v>
      </c>
      <c r="AG12" s="174">
        <f>'Város '!GT10</f>
        <v>0</v>
      </c>
      <c r="AH12" s="174">
        <f t="shared" ref="AH12:AH26" si="9">SUM(AF12:AG12)</f>
        <v>7538</v>
      </c>
      <c r="AI12" s="174">
        <f>'Város '!GV10</f>
        <v>0</v>
      </c>
      <c r="AJ12" s="174">
        <f t="shared" ref="AJ12:AJ26" si="10">SUM(AH12:AI12)</f>
        <v>7538</v>
      </c>
      <c r="AK12" s="174">
        <f>'Város '!GX10</f>
        <v>0</v>
      </c>
      <c r="AL12" s="175">
        <f t="shared" ref="AL12:AL24" si="11">SUM(AJ12:AK12)</f>
        <v>7538</v>
      </c>
      <c r="AM12" s="184">
        <f t="shared" ref="AM12:AM32" si="12">C12+O12+AA12</f>
        <v>122712691</v>
      </c>
      <c r="AN12" s="279">
        <f t="shared" ref="AN12:AN45" si="13">D12+P12+AB12</f>
        <v>926</v>
      </c>
      <c r="AO12" s="279">
        <f t="shared" ref="AO12:AO26" si="14">Q12+AC12</f>
        <v>319</v>
      </c>
      <c r="AP12" s="279">
        <f t="shared" ref="AP12:AP44" si="15">F12+R12+AD12</f>
        <v>123958</v>
      </c>
      <c r="AQ12" s="279">
        <f t="shared" ref="AQ12:AQ45" si="16">G12+S12+AE12</f>
        <v>45</v>
      </c>
      <c r="AR12" s="279">
        <f t="shared" ref="AR12:AR45" si="17">SUM(AP12:AQ12)</f>
        <v>124003</v>
      </c>
      <c r="AS12" s="279">
        <f t="shared" ref="AS12:AS45" si="18">I12+U12+AG12</f>
        <v>262</v>
      </c>
      <c r="AT12" s="279">
        <f t="shared" ref="AT12:AT45" si="19">SUM(AR12:AS12)</f>
        <v>124265</v>
      </c>
      <c r="AU12" s="279">
        <f t="shared" ref="AU12:AU45" si="20">K12+W12+AI12</f>
        <v>297</v>
      </c>
      <c r="AV12" s="279">
        <f t="shared" ref="AV12:AV45" si="21">SUM(AT12:AU12)</f>
        <v>124562</v>
      </c>
      <c r="AW12" s="393">
        <f t="shared" ref="AW12:AW45" si="22">M12+Y12+AK12</f>
        <v>1488</v>
      </c>
      <c r="AX12" s="394">
        <f t="shared" ref="AX12:AX45" si="23">SUM(AV12:AW12)</f>
        <v>126050</v>
      </c>
    </row>
    <row r="13" spans="1:50" x14ac:dyDescent="0.2">
      <c r="A13" s="177" t="s">
        <v>5</v>
      </c>
      <c r="B13" s="178" t="s">
        <v>71</v>
      </c>
      <c r="C13" s="50">
        <f>Hivatal!AA11</f>
        <v>44641530</v>
      </c>
      <c r="D13" s="12">
        <v>2239</v>
      </c>
      <c r="E13" s="12"/>
      <c r="F13" s="12">
        <v>46881</v>
      </c>
      <c r="G13" s="12">
        <f>Hivatal!AD11</f>
        <v>152</v>
      </c>
      <c r="H13" s="12">
        <f t="shared" si="0"/>
        <v>47033</v>
      </c>
      <c r="I13" s="12">
        <f>Hivatal!AF11</f>
        <v>0</v>
      </c>
      <c r="J13" s="12">
        <f t="shared" si="1"/>
        <v>47033</v>
      </c>
      <c r="K13" s="12">
        <f>Hivatal!AH11</f>
        <v>-381</v>
      </c>
      <c r="L13" s="12">
        <f t="shared" si="2"/>
        <v>46652</v>
      </c>
      <c r="M13" s="113">
        <f>Hivatal!AJ11</f>
        <v>311</v>
      </c>
      <c r="N13" s="105">
        <f t="shared" si="3"/>
        <v>46963</v>
      </c>
      <c r="O13" s="179">
        <f>Kostyán!AO11+Sportcs.!H11+Könyvtár!BH11+Gyöngysz.!AC11+Szivárvány!AM11+Pingvines!AK11</f>
        <v>299575106</v>
      </c>
      <c r="P13" s="174">
        <v>3963</v>
      </c>
      <c r="Q13" s="174"/>
      <c r="R13" s="174">
        <v>303538</v>
      </c>
      <c r="S13" s="174">
        <f>Kostyán!AR11+Könyvtár!BK11+Gyöngysz.!AG11+Szivárvány!AP11+Pingvines!AN11</f>
        <v>161</v>
      </c>
      <c r="T13" s="174">
        <f t="shared" si="4"/>
        <v>303699</v>
      </c>
      <c r="U13" s="174">
        <f>Könyvtár!BM11+Gyöngysz.!AI11+Szivárvány!AR11+Pingvines!AP11</f>
        <v>1909</v>
      </c>
      <c r="V13" s="174">
        <f t="shared" si="5"/>
        <v>305608</v>
      </c>
      <c r="W13" s="174">
        <f>Szivárvány!AT11+Pingvines!AR11+Gyöngysz.!AK11+Könyvtár!BO11</f>
        <v>0</v>
      </c>
      <c r="X13" s="174">
        <f t="shared" si="6"/>
        <v>305608</v>
      </c>
      <c r="Y13" s="174">
        <f>Kostyán!AV11+Könyvtár!BQ11+Sportcs.!K11+Gyöngysz.!AM11+Szivárvány!AV11+Pingvines!AT11</f>
        <v>7159</v>
      </c>
      <c r="Z13" s="175">
        <f t="shared" si="7"/>
        <v>312767</v>
      </c>
      <c r="AA13" s="176">
        <f>'Város '!GN11</f>
        <v>487942</v>
      </c>
      <c r="AB13" s="174">
        <f>'Város '!GO11</f>
        <v>20188</v>
      </c>
      <c r="AC13" s="174"/>
      <c r="AD13" s="174">
        <v>512202</v>
      </c>
      <c r="AE13" s="174">
        <f>'Város '!GR11</f>
        <v>2801</v>
      </c>
      <c r="AF13" s="174">
        <f t="shared" si="8"/>
        <v>515003</v>
      </c>
      <c r="AG13" s="174">
        <f>'Város '!GT11</f>
        <v>12260</v>
      </c>
      <c r="AH13" s="174">
        <f t="shared" si="9"/>
        <v>527263</v>
      </c>
      <c r="AI13" s="174">
        <f>'Város '!GV11</f>
        <v>8504</v>
      </c>
      <c r="AJ13" s="174">
        <f t="shared" si="10"/>
        <v>535767</v>
      </c>
      <c r="AK13" s="174">
        <f>'Város '!GX11</f>
        <v>6792</v>
      </c>
      <c r="AL13" s="175">
        <f t="shared" si="11"/>
        <v>542559</v>
      </c>
      <c r="AM13" s="281">
        <v>832159</v>
      </c>
      <c r="AN13" s="279">
        <f t="shared" si="13"/>
        <v>26390</v>
      </c>
      <c r="AO13" s="279">
        <f t="shared" si="14"/>
        <v>0</v>
      </c>
      <c r="AP13" s="279">
        <f t="shared" si="15"/>
        <v>862621</v>
      </c>
      <c r="AQ13" s="279">
        <f t="shared" si="16"/>
        <v>3114</v>
      </c>
      <c r="AR13" s="279">
        <f t="shared" si="17"/>
        <v>865735</v>
      </c>
      <c r="AS13" s="279">
        <f t="shared" si="18"/>
        <v>14169</v>
      </c>
      <c r="AT13" s="279">
        <f t="shared" si="19"/>
        <v>879904</v>
      </c>
      <c r="AU13" s="279">
        <f t="shared" si="20"/>
        <v>8123</v>
      </c>
      <c r="AV13" s="279">
        <f t="shared" si="21"/>
        <v>888027</v>
      </c>
      <c r="AW13" s="393">
        <f t="shared" si="22"/>
        <v>14262</v>
      </c>
      <c r="AX13" s="394">
        <f t="shared" si="23"/>
        <v>902289</v>
      </c>
    </row>
    <row r="14" spans="1:50" x14ac:dyDescent="0.2">
      <c r="A14" s="177" t="s">
        <v>6</v>
      </c>
      <c r="B14" s="178" t="s">
        <v>41</v>
      </c>
      <c r="C14" s="50">
        <f>Hivatal!AA12</f>
        <v>0</v>
      </c>
      <c r="D14" s="12"/>
      <c r="E14" s="12"/>
      <c r="F14" s="12"/>
      <c r="G14" s="12">
        <f>Hivatal!AD12</f>
        <v>0</v>
      </c>
      <c r="H14" s="12">
        <f t="shared" si="0"/>
        <v>0</v>
      </c>
      <c r="I14" s="12">
        <f>Hivatal!AF12</f>
        <v>0</v>
      </c>
      <c r="J14" s="12">
        <f t="shared" si="1"/>
        <v>0</v>
      </c>
      <c r="K14" s="12">
        <f>Hivatal!AH12</f>
        <v>0</v>
      </c>
      <c r="L14" s="12">
        <f t="shared" si="2"/>
        <v>0</v>
      </c>
      <c r="M14" s="113">
        <f>Hivatal!AJ12</f>
        <v>0</v>
      </c>
      <c r="N14" s="105">
        <f t="shared" si="3"/>
        <v>0</v>
      </c>
      <c r="O14" s="179">
        <v>0</v>
      </c>
      <c r="P14" s="174"/>
      <c r="Q14" s="174"/>
      <c r="R14" s="174">
        <f t="shared" ref="R14:R41" si="24">SUM(O14:P14)/1000</f>
        <v>0</v>
      </c>
      <c r="S14" s="174">
        <f>Kostyán!AR12+Könyvtár!BK12+Gyöngysz.!AG12+Szivárvány!AP12+Pingvines!AN12</f>
        <v>0</v>
      </c>
      <c r="T14" s="174">
        <f t="shared" si="4"/>
        <v>0</v>
      </c>
      <c r="U14" s="174">
        <f>Könyvtár!BM12+Gyöngysz.!AI12+Szivárvány!AR12+Pingvines!AP12</f>
        <v>0</v>
      </c>
      <c r="V14" s="174">
        <f t="shared" si="5"/>
        <v>0</v>
      </c>
      <c r="W14" s="174">
        <f>Szivárvány!AT12+Pingvines!AR12+Gyöngysz.!AK12+Könyvtár!BO12</f>
        <v>0</v>
      </c>
      <c r="X14" s="174">
        <f t="shared" si="6"/>
        <v>0</v>
      </c>
      <c r="Y14" s="174">
        <f>Kostyán!AV12+Könyvtár!BQ12+Sportcs.!K12+Gyöngysz.!AM12+Szivárvány!AV12+Pingvines!AT12</f>
        <v>0</v>
      </c>
      <c r="Z14" s="175">
        <f t="shared" si="7"/>
        <v>0</v>
      </c>
      <c r="AA14" s="179">
        <f>'Város '!GN12</f>
        <v>31891250</v>
      </c>
      <c r="AB14" s="174">
        <f>'Város '!GO12</f>
        <v>63</v>
      </c>
      <c r="AC14" s="174"/>
      <c r="AD14" s="174">
        <v>31954</v>
      </c>
      <c r="AE14" s="174">
        <f>'Város '!GR12</f>
        <v>25</v>
      </c>
      <c r="AF14" s="174">
        <f t="shared" si="8"/>
        <v>31979</v>
      </c>
      <c r="AG14" s="174">
        <f>'Város '!GT12</f>
        <v>0</v>
      </c>
      <c r="AH14" s="174">
        <f t="shared" si="9"/>
        <v>31979</v>
      </c>
      <c r="AI14" s="174">
        <f>'Város '!GV12</f>
        <v>54</v>
      </c>
      <c r="AJ14" s="174">
        <f t="shared" si="10"/>
        <v>32033</v>
      </c>
      <c r="AK14" s="174">
        <f>'Város '!GX12</f>
        <v>42</v>
      </c>
      <c r="AL14" s="175">
        <f t="shared" si="11"/>
        <v>32075</v>
      </c>
      <c r="AM14" s="184">
        <f t="shared" si="12"/>
        <v>31891250</v>
      </c>
      <c r="AN14" s="279">
        <f t="shared" si="13"/>
        <v>63</v>
      </c>
      <c r="AO14" s="279">
        <f t="shared" si="14"/>
        <v>0</v>
      </c>
      <c r="AP14" s="279">
        <f t="shared" si="15"/>
        <v>31954</v>
      </c>
      <c r="AQ14" s="279">
        <f t="shared" si="16"/>
        <v>25</v>
      </c>
      <c r="AR14" s="279">
        <f t="shared" si="17"/>
        <v>31979</v>
      </c>
      <c r="AS14" s="279">
        <f t="shared" si="18"/>
        <v>0</v>
      </c>
      <c r="AT14" s="279">
        <f t="shared" si="19"/>
        <v>31979</v>
      </c>
      <c r="AU14" s="279">
        <f t="shared" si="20"/>
        <v>54</v>
      </c>
      <c r="AV14" s="279">
        <f t="shared" si="21"/>
        <v>32033</v>
      </c>
      <c r="AW14" s="393">
        <f t="shared" si="22"/>
        <v>42</v>
      </c>
      <c r="AX14" s="394">
        <f t="shared" si="23"/>
        <v>32075</v>
      </c>
    </row>
    <row r="15" spans="1:50" x14ac:dyDescent="0.2">
      <c r="A15" s="177" t="s">
        <v>7</v>
      </c>
      <c r="B15" s="178" t="s">
        <v>42</v>
      </c>
      <c r="C15" s="50">
        <f>Hivatal!AA13</f>
        <v>0</v>
      </c>
      <c r="D15" s="12">
        <v>5</v>
      </c>
      <c r="E15" s="12"/>
      <c r="F15" s="12">
        <v>5</v>
      </c>
      <c r="G15" s="12">
        <f>Hivatal!AD13</f>
        <v>0</v>
      </c>
      <c r="H15" s="12">
        <f t="shared" si="0"/>
        <v>5</v>
      </c>
      <c r="I15" s="12">
        <f>Hivatal!AF13</f>
        <v>0</v>
      </c>
      <c r="J15" s="12">
        <f t="shared" si="1"/>
        <v>5</v>
      </c>
      <c r="K15" s="12">
        <f>Hivatal!AH13</f>
        <v>0</v>
      </c>
      <c r="L15" s="12">
        <f t="shared" si="2"/>
        <v>5</v>
      </c>
      <c r="M15" s="113">
        <f>Hivatal!AJ13</f>
        <v>2</v>
      </c>
      <c r="N15" s="105">
        <f t="shared" si="3"/>
        <v>7</v>
      </c>
      <c r="O15" s="179">
        <f>Kostyán!AO13+Sportcs.!H13+Könyvtár!BH13+Gyöngysz.!AC13+Szivárvány!AM13+Pingvines!AK13</f>
        <v>0</v>
      </c>
      <c r="P15" s="174"/>
      <c r="Q15" s="174"/>
      <c r="R15" s="174">
        <f t="shared" si="24"/>
        <v>0</v>
      </c>
      <c r="S15" s="174">
        <f>Kostyán!AR13+Könyvtár!BK13+Gyöngysz.!AG13+Szivárvány!AP13+Pingvines!AN13</f>
        <v>0</v>
      </c>
      <c r="T15" s="174">
        <f t="shared" si="4"/>
        <v>0</v>
      </c>
      <c r="U15" s="174">
        <f>Könyvtár!BM13+Gyöngysz.!AI13+Szivárvány!AR13+Pingvines!AP13</f>
        <v>0</v>
      </c>
      <c r="V15" s="174">
        <f t="shared" si="5"/>
        <v>0</v>
      </c>
      <c r="W15" s="174">
        <f>Szivárvány!AT13+Pingvines!AR13+Gyöngysz.!AK13+Könyvtár!BO13</f>
        <v>0</v>
      </c>
      <c r="X15" s="174">
        <f t="shared" si="6"/>
        <v>0</v>
      </c>
      <c r="Y15" s="174">
        <f>Kostyán!AV13+Könyvtár!BQ13+Sportcs.!K13+Gyöngysz.!AM13+Szivárvány!AV13+Pingvines!AT13</f>
        <v>0</v>
      </c>
      <c r="Z15" s="175">
        <f t="shared" si="7"/>
        <v>0</v>
      </c>
      <c r="AA15" s="179">
        <f>'Város '!GN13</f>
        <v>109983724</v>
      </c>
      <c r="AB15" s="174">
        <f>'Város '!GO13</f>
        <v>28325</v>
      </c>
      <c r="AC15" s="174">
        <v>-1949</v>
      </c>
      <c r="AD15" s="174">
        <f>138309+AC15</f>
        <v>136360</v>
      </c>
      <c r="AE15" s="174">
        <f>'Város '!GR13</f>
        <v>3835</v>
      </c>
      <c r="AF15" s="174">
        <f t="shared" si="8"/>
        <v>140195</v>
      </c>
      <c r="AG15" s="174">
        <f>'Város '!GT13</f>
        <v>-7423</v>
      </c>
      <c r="AH15" s="174">
        <f t="shared" si="9"/>
        <v>132772</v>
      </c>
      <c r="AI15" s="174">
        <f>'Város '!GV13</f>
        <v>-113</v>
      </c>
      <c r="AJ15" s="174">
        <f t="shared" si="10"/>
        <v>132659</v>
      </c>
      <c r="AK15" s="174">
        <f>'Város '!GX13</f>
        <v>44479</v>
      </c>
      <c r="AL15" s="175">
        <f t="shared" si="11"/>
        <v>177138</v>
      </c>
      <c r="AM15" s="184">
        <f t="shared" si="12"/>
        <v>109983724</v>
      </c>
      <c r="AN15" s="279">
        <f t="shared" si="13"/>
        <v>28330</v>
      </c>
      <c r="AO15" s="279">
        <f t="shared" si="14"/>
        <v>-1949</v>
      </c>
      <c r="AP15" s="279">
        <v>136360</v>
      </c>
      <c r="AQ15" s="279">
        <f t="shared" si="16"/>
        <v>3835</v>
      </c>
      <c r="AR15" s="279">
        <v>140200</v>
      </c>
      <c r="AS15" s="279">
        <f t="shared" si="18"/>
        <v>-7423</v>
      </c>
      <c r="AT15" s="279">
        <f t="shared" si="19"/>
        <v>132777</v>
      </c>
      <c r="AU15" s="279">
        <f t="shared" si="20"/>
        <v>-113</v>
      </c>
      <c r="AV15" s="279">
        <f t="shared" si="21"/>
        <v>132664</v>
      </c>
      <c r="AW15" s="393">
        <f t="shared" si="22"/>
        <v>44481</v>
      </c>
      <c r="AX15" s="394">
        <f t="shared" si="23"/>
        <v>177145</v>
      </c>
    </row>
    <row r="16" spans="1:50" x14ac:dyDescent="0.2">
      <c r="A16" s="177" t="s">
        <v>8</v>
      </c>
      <c r="B16" s="181" t="s">
        <v>109</v>
      </c>
      <c r="C16" s="50">
        <f>Hivatal!AA14</f>
        <v>0</v>
      </c>
      <c r="D16" s="12"/>
      <c r="E16" s="12"/>
      <c r="F16" s="12"/>
      <c r="G16" s="12">
        <f>Hivatal!AD14</f>
        <v>0</v>
      </c>
      <c r="H16" s="12">
        <f t="shared" si="0"/>
        <v>0</v>
      </c>
      <c r="I16" s="12">
        <f>Hivatal!AF14</f>
        <v>0</v>
      </c>
      <c r="J16" s="12">
        <f t="shared" si="1"/>
        <v>0</v>
      </c>
      <c r="K16" s="12">
        <f>Hivatal!AH14</f>
        <v>0</v>
      </c>
      <c r="L16" s="12">
        <f t="shared" si="2"/>
        <v>0</v>
      </c>
      <c r="M16" s="113">
        <f>Hivatal!AJ14</f>
        <v>0</v>
      </c>
      <c r="N16" s="105">
        <f t="shared" si="3"/>
        <v>0</v>
      </c>
      <c r="O16" s="179">
        <f>Kostyán!AO14+Sportcs.!H14+Könyvtár!BH14+Gyöngysz.!AC14+Szivárvány!AM14+Pingvines!AK14</f>
        <v>0</v>
      </c>
      <c r="P16" s="174"/>
      <c r="Q16" s="174"/>
      <c r="R16" s="174">
        <f t="shared" si="24"/>
        <v>0</v>
      </c>
      <c r="S16" s="174">
        <f>Kostyán!AR14+Könyvtár!BK14+Gyöngysz.!AG14+Szivárvány!AP14+Pingvines!AN14</f>
        <v>0</v>
      </c>
      <c r="T16" s="174">
        <f t="shared" si="4"/>
        <v>0</v>
      </c>
      <c r="U16" s="174">
        <f>Könyvtár!BM14+Gyöngysz.!AI14+Szivárvány!AR14+Pingvines!AP14</f>
        <v>0</v>
      </c>
      <c r="V16" s="174">
        <f t="shared" si="5"/>
        <v>0</v>
      </c>
      <c r="W16" s="174">
        <f>Szivárvány!AT14+Pingvines!AR14+Gyöngysz.!AK14+Könyvtár!BO14</f>
        <v>0</v>
      </c>
      <c r="X16" s="174">
        <f t="shared" si="6"/>
        <v>0</v>
      </c>
      <c r="Y16" s="174">
        <f>Kostyán!AV14+Könyvtár!BQ14+Sportcs.!K14+Gyöngysz.!AM14+Szivárvány!AV14+Pingvines!AT14</f>
        <v>0</v>
      </c>
      <c r="Z16" s="175">
        <f t="shared" si="7"/>
        <v>0</v>
      </c>
      <c r="AA16" s="179">
        <v>57000000</v>
      </c>
      <c r="AB16" s="174">
        <f>'Város '!GO14</f>
        <v>28325</v>
      </c>
      <c r="AC16" s="174">
        <v>-1949</v>
      </c>
      <c r="AD16" s="174">
        <f>85325+AC16</f>
        <v>83376</v>
      </c>
      <c r="AE16" s="174">
        <f>'Város '!GR14</f>
        <v>3235</v>
      </c>
      <c r="AF16" s="174">
        <f t="shared" si="8"/>
        <v>86611</v>
      </c>
      <c r="AG16" s="174">
        <f>'Város '!GT14</f>
        <v>-7423</v>
      </c>
      <c r="AH16" s="174">
        <f t="shared" si="9"/>
        <v>79188</v>
      </c>
      <c r="AI16" s="174">
        <f>'Város '!GV14</f>
        <v>-2713</v>
      </c>
      <c r="AJ16" s="174">
        <f t="shared" si="10"/>
        <v>76475</v>
      </c>
      <c r="AK16" s="174">
        <f>'Város '!GX14</f>
        <v>43769</v>
      </c>
      <c r="AL16" s="175">
        <f t="shared" si="11"/>
        <v>120244</v>
      </c>
      <c r="AM16" s="184">
        <f t="shared" si="12"/>
        <v>57000000</v>
      </c>
      <c r="AN16" s="279">
        <f t="shared" si="13"/>
        <v>28325</v>
      </c>
      <c r="AO16" s="279">
        <f t="shared" si="14"/>
        <v>-1949</v>
      </c>
      <c r="AP16" s="279">
        <v>83376</v>
      </c>
      <c r="AQ16" s="279">
        <f t="shared" si="16"/>
        <v>3235</v>
      </c>
      <c r="AR16" s="279">
        <f t="shared" si="17"/>
        <v>86611</v>
      </c>
      <c r="AS16" s="279">
        <f t="shared" si="18"/>
        <v>-7423</v>
      </c>
      <c r="AT16" s="279">
        <f t="shared" si="19"/>
        <v>79188</v>
      </c>
      <c r="AU16" s="279">
        <f t="shared" si="20"/>
        <v>-2713</v>
      </c>
      <c r="AV16" s="279">
        <f t="shared" si="21"/>
        <v>76475</v>
      </c>
      <c r="AW16" s="393">
        <f t="shared" si="22"/>
        <v>43769</v>
      </c>
      <c r="AX16" s="394">
        <f t="shared" si="23"/>
        <v>120244</v>
      </c>
    </row>
    <row r="17" spans="1:50" s="7" customFormat="1" x14ac:dyDescent="0.2">
      <c r="A17" s="173" t="s">
        <v>9</v>
      </c>
      <c r="B17" s="182" t="s">
        <v>43</v>
      </c>
      <c r="C17" s="50">
        <f>Hivatal!AA15</f>
        <v>238177877</v>
      </c>
      <c r="D17" s="12">
        <v>7588</v>
      </c>
      <c r="E17" s="12"/>
      <c r="F17" s="12">
        <v>245766</v>
      </c>
      <c r="G17" s="12">
        <f>Hivatal!AD15</f>
        <v>310</v>
      </c>
      <c r="H17" s="12">
        <f t="shared" si="0"/>
        <v>246076</v>
      </c>
      <c r="I17" s="12">
        <f>Hivatal!AF15</f>
        <v>74</v>
      </c>
      <c r="J17" s="12">
        <f t="shared" si="1"/>
        <v>246150</v>
      </c>
      <c r="K17" s="12">
        <f>Hivatal!AH15</f>
        <v>-233</v>
      </c>
      <c r="L17" s="12">
        <f t="shared" si="2"/>
        <v>245917</v>
      </c>
      <c r="M17" s="113">
        <f>Hivatal!AJ15</f>
        <v>459</v>
      </c>
      <c r="N17" s="105">
        <f t="shared" si="3"/>
        <v>246376</v>
      </c>
      <c r="O17" s="179">
        <v>803299000</v>
      </c>
      <c r="P17" s="174">
        <v>6110</v>
      </c>
      <c r="Q17" s="174">
        <v>1572</v>
      </c>
      <c r="R17" s="174">
        <v>810981</v>
      </c>
      <c r="S17" s="174">
        <f>Kostyán!AR15+Könyvtár!BK15+Gyöngysz.!AG15+Szivárvány!AP15+Pingvines!AN15</f>
        <v>284</v>
      </c>
      <c r="T17" s="174">
        <f t="shared" si="4"/>
        <v>811265</v>
      </c>
      <c r="U17" s="174">
        <f>Könyvtár!BM15+Gyöngysz.!AI15+Szivárvány!AR15+Pingvines!AP15</f>
        <v>4610</v>
      </c>
      <c r="V17" s="174">
        <f t="shared" si="5"/>
        <v>815875</v>
      </c>
      <c r="W17" s="174">
        <f>Szivárvány!AT15+Pingvines!AR15+Gyöngysz.!AK15+Könyvtár!BO15</f>
        <v>1672</v>
      </c>
      <c r="X17" s="174">
        <f t="shared" si="6"/>
        <v>817547</v>
      </c>
      <c r="Y17" s="174">
        <f>Kostyán!AV15+Könyvtár!BQ15+Sportcs.!K15+Gyöngysz.!AM15+Szivárvány!AV15+Pingvines!AT15</f>
        <v>8711</v>
      </c>
      <c r="Z17" s="175">
        <f t="shared" si="7"/>
        <v>826258</v>
      </c>
      <c r="AA17" s="179">
        <v>675592000</v>
      </c>
      <c r="AB17" s="174">
        <f>'Város '!GO15</f>
        <v>48719</v>
      </c>
      <c r="AC17" s="174">
        <f>AC15+AC11+AC12</f>
        <v>-1572</v>
      </c>
      <c r="AD17" s="174">
        <f>728383+AC17</f>
        <v>726811</v>
      </c>
      <c r="AE17" s="174">
        <f>'Város '!GR15</f>
        <v>6661</v>
      </c>
      <c r="AF17" s="174">
        <f t="shared" si="8"/>
        <v>733472</v>
      </c>
      <c r="AG17" s="174">
        <f>'Város '!GT15</f>
        <v>4837</v>
      </c>
      <c r="AH17" s="174">
        <f t="shared" si="9"/>
        <v>738309</v>
      </c>
      <c r="AI17" s="174">
        <f>'Város '!GV15</f>
        <v>8445</v>
      </c>
      <c r="AJ17" s="174">
        <f t="shared" si="10"/>
        <v>746754</v>
      </c>
      <c r="AK17" s="174">
        <f>'Város '!GX15</f>
        <v>51182</v>
      </c>
      <c r="AL17" s="175">
        <f t="shared" si="11"/>
        <v>797936</v>
      </c>
      <c r="AM17" s="184">
        <f t="shared" si="12"/>
        <v>1717068877</v>
      </c>
      <c r="AN17" s="279">
        <f t="shared" si="13"/>
        <v>62417</v>
      </c>
      <c r="AO17" s="279">
        <f t="shared" si="14"/>
        <v>0</v>
      </c>
      <c r="AP17" s="279">
        <v>1783558</v>
      </c>
      <c r="AQ17" s="279">
        <f t="shared" si="16"/>
        <v>7255</v>
      </c>
      <c r="AR17" s="279">
        <f t="shared" si="17"/>
        <v>1790813</v>
      </c>
      <c r="AS17" s="279">
        <f t="shared" si="18"/>
        <v>9521</v>
      </c>
      <c r="AT17" s="279">
        <f t="shared" si="19"/>
        <v>1800334</v>
      </c>
      <c r="AU17" s="279">
        <f t="shared" si="20"/>
        <v>9884</v>
      </c>
      <c r="AV17" s="279">
        <f t="shared" si="21"/>
        <v>1810218</v>
      </c>
      <c r="AW17" s="393">
        <f t="shared" si="22"/>
        <v>60352</v>
      </c>
      <c r="AX17" s="394">
        <f t="shared" si="23"/>
        <v>1870570</v>
      </c>
    </row>
    <row r="18" spans="1:50" x14ac:dyDescent="0.2">
      <c r="A18" s="177" t="s">
        <v>10</v>
      </c>
      <c r="B18" s="178" t="s">
        <v>44</v>
      </c>
      <c r="C18" s="50">
        <f>Hivatal!AA16</f>
        <v>5624830</v>
      </c>
      <c r="D18" s="12">
        <v>287</v>
      </c>
      <c r="E18" s="12"/>
      <c r="F18" s="12">
        <v>5912</v>
      </c>
      <c r="G18" s="12">
        <f>Hivatal!AD16</f>
        <v>0</v>
      </c>
      <c r="H18" s="12">
        <f t="shared" si="0"/>
        <v>5912</v>
      </c>
      <c r="I18" s="12">
        <f>Hivatal!AF16</f>
        <v>0</v>
      </c>
      <c r="J18" s="12">
        <f t="shared" si="1"/>
        <v>5912</v>
      </c>
      <c r="K18" s="12">
        <f>Hivatal!AH16</f>
        <v>381</v>
      </c>
      <c r="L18" s="12">
        <f t="shared" si="2"/>
        <v>6293</v>
      </c>
      <c r="M18" s="113">
        <f>Hivatal!AJ16</f>
        <v>0</v>
      </c>
      <c r="N18" s="105">
        <f t="shared" si="3"/>
        <v>6293</v>
      </c>
      <c r="O18" s="179">
        <f>Kostyán!AO16+Sportcs.!H16+Könyvtár!BH16+Gyöngysz.!AC16+Szivárvány!AM16+Pingvines!AK16</f>
        <v>27871372</v>
      </c>
      <c r="P18" s="174">
        <v>1227</v>
      </c>
      <c r="Q18" s="174"/>
      <c r="R18" s="174">
        <v>29098</v>
      </c>
      <c r="S18" s="174">
        <f>Kostyán!AR16+Könyvtár!BK16+Gyöngysz.!AG16+Szivárvány!AP16+Pingvines!AN16</f>
        <v>0</v>
      </c>
      <c r="T18" s="174">
        <f t="shared" si="4"/>
        <v>29098</v>
      </c>
      <c r="U18" s="174">
        <f>Könyvtár!BM16+Gyöngysz.!AI16+Szivárvány!AR16+Pingvines!AP16</f>
        <v>2154</v>
      </c>
      <c r="V18" s="174">
        <f t="shared" si="5"/>
        <v>31252</v>
      </c>
      <c r="W18" s="174">
        <f>Szivárvány!AT16+Pingvines!AR16+Gyöngysz.!AK16+Könyvtár!BO16</f>
        <v>0</v>
      </c>
      <c r="X18" s="174">
        <f t="shared" si="6"/>
        <v>31252</v>
      </c>
      <c r="Y18" s="174">
        <f>Kostyán!AV16+Könyvtár!BQ16+Sportcs.!K16+Gyöngysz.!AM16+Szivárvány!AV16+Pingvines!AT16</f>
        <v>161</v>
      </c>
      <c r="Z18" s="175">
        <f t="shared" si="7"/>
        <v>31413</v>
      </c>
      <c r="AA18" s="179">
        <f>'Város '!GN16</f>
        <v>459097539</v>
      </c>
      <c r="AB18" s="174">
        <f>'Város '!GO16</f>
        <v>2381</v>
      </c>
      <c r="AC18" s="174"/>
      <c r="AD18" s="174">
        <v>461479</v>
      </c>
      <c r="AE18" s="174">
        <f>'Város '!GR16</f>
        <v>53489</v>
      </c>
      <c r="AF18" s="174">
        <f t="shared" si="8"/>
        <v>514968</v>
      </c>
      <c r="AG18" s="174">
        <f>'Város '!GT16</f>
        <v>56934</v>
      </c>
      <c r="AH18" s="174">
        <f t="shared" si="9"/>
        <v>571902</v>
      </c>
      <c r="AI18" s="174">
        <f>'Város '!GV16</f>
        <v>3300</v>
      </c>
      <c r="AJ18" s="174">
        <f t="shared" si="10"/>
        <v>575202</v>
      </c>
      <c r="AK18" s="174">
        <f>'Város '!GX16</f>
        <v>3110</v>
      </c>
      <c r="AL18" s="175">
        <f t="shared" si="11"/>
        <v>578312</v>
      </c>
      <c r="AM18" s="184">
        <f t="shared" si="12"/>
        <v>492593741</v>
      </c>
      <c r="AN18" s="279">
        <f t="shared" si="13"/>
        <v>3895</v>
      </c>
      <c r="AO18" s="279">
        <f t="shared" si="14"/>
        <v>0</v>
      </c>
      <c r="AP18" s="279">
        <f t="shared" si="15"/>
        <v>496489</v>
      </c>
      <c r="AQ18" s="279">
        <f t="shared" si="16"/>
        <v>53489</v>
      </c>
      <c r="AR18" s="279">
        <f t="shared" si="17"/>
        <v>549978</v>
      </c>
      <c r="AS18" s="279">
        <f t="shared" si="18"/>
        <v>59088</v>
      </c>
      <c r="AT18" s="279">
        <f t="shared" si="19"/>
        <v>609066</v>
      </c>
      <c r="AU18" s="279">
        <f t="shared" si="20"/>
        <v>3681</v>
      </c>
      <c r="AV18" s="279">
        <f t="shared" si="21"/>
        <v>612747</v>
      </c>
      <c r="AW18" s="393">
        <f t="shared" si="22"/>
        <v>3271</v>
      </c>
      <c r="AX18" s="394">
        <f t="shared" si="23"/>
        <v>616018</v>
      </c>
    </row>
    <row r="19" spans="1:50" x14ac:dyDescent="0.2">
      <c r="A19" s="177" t="s">
        <v>11</v>
      </c>
      <c r="B19" s="178" t="s">
        <v>45</v>
      </c>
      <c r="C19" s="50">
        <f>Hivatal!C17</f>
        <v>0</v>
      </c>
      <c r="D19" s="12"/>
      <c r="E19" s="12"/>
      <c r="F19" s="12"/>
      <c r="G19" s="12">
        <f>Hivatal!AD17</f>
        <v>0</v>
      </c>
      <c r="H19" s="12">
        <f t="shared" si="0"/>
        <v>0</v>
      </c>
      <c r="I19" s="12">
        <f>Hivatal!AF17</f>
        <v>0</v>
      </c>
      <c r="J19" s="12">
        <f t="shared" si="1"/>
        <v>0</v>
      </c>
      <c r="K19" s="12">
        <f>Hivatal!AH17</f>
        <v>0</v>
      </c>
      <c r="L19" s="12">
        <f t="shared" si="2"/>
        <v>0</v>
      </c>
      <c r="M19" s="113">
        <f>Hivatal!AJ17</f>
        <v>0</v>
      </c>
      <c r="N19" s="105">
        <f t="shared" si="3"/>
        <v>0</v>
      </c>
      <c r="O19" s="179">
        <v>0</v>
      </c>
      <c r="P19" s="174"/>
      <c r="Q19" s="174"/>
      <c r="R19" s="174">
        <f t="shared" si="24"/>
        <v>0</v>
      </c>
      <c r="S19" s="174">
        <f>Kostyán!AR17+Könyvtár!BK17+Gyöngysz.!AG17+Szivárvány!AP17+Pingvines!AN17</f>
        <v>0</v>
      </c>
      <c r="T19" s="174">
        <f t="shared" si="4"/>
        <v>0</v>
      </c>
      <c r="U19" s="174">
        <f>Könyvtár!BM17+Gyöngysz.!AI17+Szivárvány!AR17+Pingvines!AP17</f>
        <v>0</v>
      </c>
      <c r="V19" s="174">
        <f t="shared" si="5"/>
        <v>0</v>
      </c>
      <c r="W19" s="174">
        <f>Szivárvány!AT17+Pingvines!AR17+Gyöngysz.!AK17+Könyvtár!BO17</f>
        <v>0</v>
      </c>
      <c r="X19" s="174">
        <f t="shared" si="6"/>
        <v>0</v>
      </c>
      <c r="Y19" s="174">
        <f>Kostyán!AV17+Könyvtár!BQ17+Sportcs.!K17+Gyöngysz.!AM17+Szivárvány!AV17+Pingvines!AT17</f>
        <v>0</v>
      </c>
      <c r="Z19" s="175">
        <f t="shared" si="7"/>
        <v>0</v>
      </c>
      <c r="AA19" s="179">
        <f>'Város '!GN17</f>
        <v>100378073</v>
      </c>
      <c r="AB19" s="174">
        <f>'Város '!GO17</f>
        <v>33390</v>
      </c>
      <c r="AC19" s="174"/>
      <c r="AD19" s="174">
        <v>109768</v>
      </c>
      <c r="AE19" s="174">
        <f>'Város '!GR17</f>
        <v>0</v>
      </c>
      <c r="AF19" s="174">
        <f t="shared" si="8"/>
        <v>109768</v>
      </c>
      <c r="AG19" s="174">
        <f>'Város '!GT17</f>
        <v>7000</v>
      </c>
      <c r="AH19" s="174">
        <f t="shared" si="9"/>
        <v>116768</v>
      </c>
      <c r="AI19" s="174">
        <f>'Város '!GV17</f>
        <v>3600</v>
      </c>
      <c r="AJ19" s="174">
        <f t="shared" si="10"/>
        <v>120368</v>
      </c>
      <c r="AK19" s="174">
        <f>'Város '!GX17</f>
        <v>74206</v>
      </c>
      <c r="AL19" s="175">
        <f t="shared" si="11"/>
        <v>194574</v>
      </c>
      <c r="AM19" s="184">
        <f t="shared" si="12"/>
        <v>100378073</v>
      </c>
      <c r="AN19" s="279">
        <f t="shared" si="13"/>
        <v>33390</v>
      </c>
      <c r="AO19" s="279">
        <f t="shared" si="14"/>
        <v>0</v>
      </c>
      <c r="AP19" s="279">
        <f t="shared" si="15"/>
        <v>109768</v>
      </c>
      <c r="AQ19" s="279">
        <f t="shared" si="16"/>
        <v>0</v>
      </c>
      <c r="AR19" s="279">
        <f t="shared" si="17"/>
        <v>109768</v>
      </c>
      <c r="AS19" s="279">
        <f t="shared" si="18"/>
        <v>7000</v>
      </c>
      <c r="AT19" s="279">
        <f t="shared" si="19"/>
        <v>116768</v>
      </c>
      <c r="AU19" s="279">
        <f t="shared" si="20"/>
        <v>3600</v>
      </c>
      <c r="AV19" s="279">
        <f t="shared" si="21"/>
        <v>120368</v>
      </c>
      <c r="AW19" s="393">
        <f t="shared" si="22"/>
        <v>74206</v>
      </c>
      <c r="AX19" s="394">
        <f t="shared" si="23"/>
        <v>194574</v>
      </c>
    </row>
    <row r="20" spans="1:50" x14ac:dyDescent="0.2">
      <c r="A20" s="177" t="s">
        <v>12</v>
      </c>
      <c r="B20" s="178" t="s">
        <v>46</v>
      </c>
      <c r="C20" s="50">
        <f>Hivatal!AA18</f>
        <v>0</v>
      </c>
      <c r="D20" s="12"/>
      <c r="E20" s="12"/>
      <c r="F20" s="12"/>
      <c r="G20" s="12">
        <f>Hivatal!AD18</f>
        <v>0</v>
      </c>
      <c r="H20" s="12">
        <f t="shared" si="0"/>
        <v>0</v>
      </c>
      <c r="I20" s="12">
        <f>Hivatal!AF18</f>
        <v>0</v>
      </c>
      <c r="J20" s="12">
        <f t="shared" si="1"/>
        <v>0</v>
      </c>
      <c r="K20" s="12">
        <f>Hivatal!AH18</f>
        <v>0</v>
      </c>
      <c r="L20" s="12">
        <f t="shared" si="2"/>
        <v>0</v>
      </c>
      <c r="M20" s="113">
        <f>Hivatal!AJ18</f>
        <v>0</v>
      </c>
      <c r="N20" s="105">
        <f t="shared" si="3"/>
        <v>0</v>
      </c>
      <c r="O20" s="179">
        <f>Kostyán!AO18+Sportcs.!H18+Könyvtár!BH18+Gyöngysz.!AC18+Szivárvány!AM18+Pingvines!AK18</f>
        <v>0</v>
      </c>
      <c r="P20" s="174"/>
      <c r="Q20" s="174"/>
      <c r="R20" s="174">
        <f t="shared" si="24"/>
        <v>0</v>
      </c>
      <c r="S20" s="174">
        <f>Kostyán!AR18+Könyvtár!BK18+Gyöngysz.!AG18+Szivárvány!AP18+Pingvines!AN18</f>
        <v>0</v>
      </c>
      <c r="T20" s="174">
        <f t="shared" si="4"/>
        <v>0</v>
      </c>
      <c r="U20" s="174">
        <f>Könyvtár!BM18+Gyöngysz.!AI18+Szivárvány!AR18+Pingvines!AP18</f>
        <v>0</v>
      </c>
      <c r="V20" s="174">
        <f t="shared" si="5"/>
        <v>0</v>
      </c>
      <c r="W20" s="174">
        <f>Szivárvány!AT18+Pingvines!AR18+Gyöngysz.!AK18+Könyvtár!BO18</f>
        <v>0</v>
      </c>
      <c r="X20" s="174">
        <f t="shared" si="6"/>
        <v>0</v>
      </c>
      <c r="Y20" s="174">
        <f>Kostyán!AV18+Könyvtár!BQ18+Sportcs.!K18+Gyöngysz.!AM18+Szivárvány!AV18+Pingvines!AT18</f>
        <v>0</v>
      </c>
      <c r="Z20" s="175">
        <f t="shared" si="7"/>
        <v>0</v>
      </c>
      <c r="AA20" s="179">
        <f>'Város '!GN18</f>
        <v>150000</v>
      </c>
      <c r="AB20" s="174">
        <f>'Város '!GO18</f>
        <v>0</v>
      </c>
      <c r="AC20" s="174"/>
      <c r="AD20" s="174">
        <v>150</v>
      </c>
      <c r="AE20" s="174">
        <f>'Város '!GR18</f>
        <v>0</v>
      </c>
      <c r="AF20" s="174">
        <f t="shared" si="8"/>
        <v>150</v>
      </c>
      <c r="AG20" s="174">
        <f>'Város '!GT18</f>
        <v>0</v>
      </c>
      <c r="AH20" s="174">
        <f t="shared" si="9"/>
        <v>150</v>
      </c>
      <c r="AI20" s="174">
        <f>'Város '!GV18</f>
        <v>0</v>
      </c>
      <c r="AJ20" s="174">
        <f t="shared" si="10"/>
        <v>150</v>
      </c>
      <c r="AK20" s="174">
        <f>'Város '!GX18</f>
        <v>0</v>
      </c>
      <c r="AL20" s="175">
        <f t="shared" si="11"/>
        <v>150</v>
      </c>
      <c r="AM20" s="184">
        <f t="shared" si="12"/>
        <v>150000</v>
      </c>
      <c r="AN20" s="279">
        <f t="shared" si="13"/>
        <v>0</v>
      </c>
      <c r="AO20" s="279">
        <f t="shared" si="14"/>
        <v>0</v>
      </c>
      <c r="AP20" s="279">
        <f t="shared" si="15"/>
        <v>150</v>
      </c>
      <c r="AQ20" s="279">
        <f t="shared" si="16"/>
        <v>0</v>
      </c>
      <c r="AR20" s="279">
        <f t="shared" si="17"/>
        <v>150</v>
      </c>
      <c r="AS20" s="279">
        <f t="shared" si="18"/>
        <v>0</v>
      </c>
      <c r="AT20" s="279">
        <f t="shared" si="19"/>
        <v>150</v>
      </c>
      <c r="AU20" s="279">
        <f t="shared" si="20"/>
        <v>0</v>
      </c>
      <c r="AV20" s="279">
        <f t="shared" si="21"/>
        <v>150</v>
      </c>
      <c r="AW20" s="393">
        <f t="shared" si="22"/>
        <v>0</v>
      </c>
      <c r="AX20" s="394">
        <f t="shared" si="23"/>
        <v>150</v>
      </c>
    </row>
    <row r="21" spans="1:50" s="7" customFormat="1" x14ac:dyDescent="0.2">
      <c r="A21" s="173" t="s">
        <v>13</v>
      </c>
      <c r="B21" s="182" t="s">
        <v>47</v>
      </c>
      <c r="C21" s="50">
        <f>Hivatal!AA19</f>
        <v>5624830</v>
      </c>
      <c r="D21" s="12">
        <v>287</v>
      </c>
      <c r="E21" s="12"/>
      <c r="F21" s="12">
        <v>5912</v>
      </c>
      <c r="G21" s="12">
        <f>Hivatal!AD19</f>
        <v>0</v>
      </c>
      <c r="H21" s="12">
        <f t="shared" si="0"/>
        <v>5912</v>
      </c>
      <c r="I21" s="12">
        <f>Hivatal!AF19</f>
        <v>0</v>
      </c>
      <c r="J21" s="12">
        <f t="shared" si="1"/>
        <v>5912</v>
      </c>
      <c r="K21" s="12">
        <f>Hivatal!AH19</f>
        <v>381</v>
      </c>
      <c r="L21" s="12">
        <f t="shared" si="2"/>
        <v>6293</v>
      </c>
      <c r="M21" s="113">
        <f>Hivatal!AJ19</f>
        <v>0</v>
      </c>
      <c r="N21" s="105">
        <f t="shared" si="3"/>
        <v>6293</v>
      </c>
      <c r="O21" s="179">
        <f>Kostyán!AO19+Sportcs.!H19+Könyvtár!BH19+Gyöngysz.!AC19+Szivárvány!AM19+Pingvines!AK19</f>
        <v>27871372</v>
      </c>
      <c r="P21" s="174">
        <v>1227</v>
      </c>
      <c r="Q21" s="174"/>
      <c r="R21" s="174">
        <v>29098</v>
      </c>
      <c r="S21" s="174">
        <f>Kostyán!AR19+Könyvtár!BK19+Gyöngysz.!AG19+Szivárvány!AP19+Pingvines!AN19</f>
        <v>0</v>
      </c>
      <c r="T21" s="174">
        <f t="shared" si="4"/>
        <v>29098</v>
      </c>
      <c r="U21" s="174">
        <v>2154</v>
      </c>
      <c r="V21" s="174">
        <f t="shared" si="5"/>
        <v>31252</v>
      </c>
      <c r="W21" s="174">
        <f>Szivárvány!AT19+Pingvines!AR19+Gyöngysz.!AK19+Könyvtár!BO19</f>
        <v>0</v>
      </c>
      <c r="X21" s="174">
        <f t="shared" si="6"/>
        <v>31252</v>
      </c>
      <c r="Y21" s="174">
        <f>Kostyán!AV19+Könyvtár!BQ19+Sportcs.!K19+Gyöngysz.!AM19+Szivárvány!AV19+Pingvines!AT19</f>
        <v>161</v>
      </c>
      <c r="Z21" s="175">
        <f t="shared" si="7"/>
        <v>31413</v>
      </c>
      <c r="AA21" s="176">
        <f>'Város '!GN19</f>
        <v>559626</v>
      </c>
      <c r="AB21" s="174">
        <f>'Város '!GO19</f>
        <v>11771</v>
      </c>
      <c r="AC21" s="174"/>
      <c r="AD21" s="174">
        <v>571397</v>
      </c>
      <c r="AE21" s="174">
        <f>'Város '!GR19</f>
        <v>53489</v>
      </c>
      <c r="AF21" s="174">
        <f t="shared" si="8"/>
        <v>624886</v>
      </c>
      <c r="AG21" s="174">
        <f>'Város '!GT19</f>
        <v>63934</v>
      </c>
      <c r="AH21" s="174">
        <f t="shared" si="9"/>
        <v>688820</v>
      </c>
      <c r="AI21" s="174">
        <f>'Város '!GV19</f>
        <v>6900</v>
      </c>
      <c r="AJ21" s="174">
        <f t="shared" si="10"/>
        <v>695720</v>
      </c>
      <c r="AK21" s="174">
        <f>'Város '!GX19</f>
        <v>77316</v>
      </c>
      <c r="AL21" s="175">
        <f t="shared" si="11"/>
        <v>773036</v>
      </c>
      <c r="AM21" s="281">
        <v>593122</v>
      </c>
      <c r="AN21" s="279">
        <f t="shared" si="13"/>
        <v>13285</v>
      </c>
      <c r="AO21" s="279">
        <f t="shared" si="14"/>
        <v>0</v>
      </c>
      <c r="AP21" s="279">
        <f t="shared" si="15"/>
        <v>606407</v>
      </c>
      <c r="AQ21" s="279">
        <f t="shared" si="16"/>
        <v>53489</v>
      </c>
      <c r="AR21" s="279">
        <f t="shared" si="17"/>
        <v>659896</v>
      </c>
      <c r="AS21" s="279">
        <f t="shared" si="18"/>
        <v>66088</v>
      </c>
      <c r="AT21" s="279">
        <f t="shared" si="19"/>
        <v>725984</v>
      </c>
      <c r="AU21" s="279">
        <f t="shared" si="20"/>
        <v>7281</v>
      </c>
      <c r="AV21" s="279">
        <f t="shared" si="21"/>
        <v>733265</v>
      </c>
      <c r="AW21" s="393">
        <f t="shared" si="22"/>
        <v>77477</v>
      </c>
      <c r="AX21" s="394">
        <f t="shared" si="23"/>
        <v>810742</v>
      </c>
    </row>
    <row r="22" spans="1:50" s="7" customFormat="1" x14ac:dyDescent="0.2">
      <c r="A22" s="173" t="s">
        <v>14</v>
      </c>
      <c r="B22" s="182" t="s">
        <v>73</v>
      </c>
      <c r="C22" s="50">
        <f>Hivatal!C20</f>
        <v>0</v>
      </c>
      <c r="D22" s="35"/>
      <c r="E22" s="35"/>
      <c r="F22" s="35"/>
      <c r="G22" s="12">
        <f>Hivatal!AD20</f>
        <v>0</v>
      </c>
      <c r="H22" s="12">
        <f t="shared" si="0"/>
        <v>0</v>
      </c>
      <c r="I22" s="12">
        <f>Hivatal!AF20</f>
        <v>0</v>
      </c>
      <c r="J22" s="12">
        <f t="shared" si="1"/>
        <v>0</v>
      </c>
      <c r="K22" s="12">
        <f>Hivatal!AH20</f>
        <v>0</v>
      </c>
      <c r="L22" s="12">
        <f t="shared" si="2"/>
        <v>0</v>
      </c>
      <c r="M22" s="113">
        <f>Hivatal!AJ20</f>
        <v>0</v>
      </c>
      <c r="N22" s="105">
        <f t="shared" si="3"/>
        <v>0</v>
      </c>
      <c r="O22" s="179">
        <f>Kostyán!AO20+Sportcs.!H20+Könyvtár!BH20+Gyöngysz.!AC20+Szivárvány!AM20+Pingvines!AK20</f>
        <v>0</v>
      </c>
      <c r="P22" s="183"/>
      <c r="Q22" s="183"/>
      <c r="R22" s="174">
        <f t="shared" si="24"/>
        <v>0</v>
      </c>
      <c r="S22" s="174">
        <f>Kostyán!AR20+Könyvtár!BK20+Gyöngysz.!AG20+Szivárvány!AP20+Pingvines!AN20</f>
        <v>0</v>
      </c>
      <c r="T22" s="174">
        <f t="shared" si="4"/>
        <v>0</v>
      </c>
      <c r="U22" s="174">
        <f>Könyvtár!BM20+Gyöngysz.!AI20+Szivárvány!AR20+Pingvines!AP20</f>
        <v>0</v>
      </c>
      <c r="V22" s="174">
        <f t="shared" si="5"/>
        <v>0</v>
      </c>
      <c r="W22" s="174">
        <f>Szivárvány!AT20+Pingvines!AR20+Gyöngysz.!AK20+Könyvtár!BO20</f>
        <v>0</v>
      </c>
      <c r="X22" s="174">
        <f t="shared" si="6"/>
        <v>0</v>
      </c>
      <c r="Y22" s="174">
        <f>Kostyán!AV20+Könyvtár!BQ20+Sportcs.!K20+Gyöngysz.!AM20+Szivárvány!AV20+Pingvines!AT20</f>
        <v>0</v>
      </c>
      <c r="Z22" s="175">
        <f t="shared" si="7"/>
        <v>0</v>
      </c>
      <c r="AA22" s="179">
        <f>'Város '!GN20</f>
        <v>963139000</v>
      </c>
      <c r="AB22" s="174">
        <f>'Város '!GO20</f>
        <v>4262</v>
      </c>
      <c r="AC22" s="174">
        <v>1572</v>
      </c>
      <c r="AD22" s="174">
        <v>968973</v>
      </c>
      <c r="AE22" s="174">
        <f>'Város '!GR20</f>
        <v>685</v>
      </c>
      <c r="AF22" s="174">
        <f t="shared" si="8"/>
        <v>969658</v>
      </c>
      <c r="AG22" s="174">
        <f>'Város '!GT20</f>
        <v>4218</v>
      </c>
      <c r="AH22" s="174">
        <f t="shared" si="9"/>
        <v>973876</v>
      </c>
      <c r="AI22" s="174">
        <f>'Város '!GV20</f>
        <v>736</v>
      </c>
      <c r="AJ22" s="174">
        <f t="shared" si="10"/>
        <v>974612</v>
      </c>
      <c r="AK22" s="174">
        <f>'Város '!GX20</f>
        <v>34214</v>
      </c>
      <c r="AL22" s="175">
        <f t="shared" si="11"/>
        <v>1008826</v>
      </c>
      <c r="AM22" s="184">
        <f t="shared" si="12"/>
        <v>963139000</v>
      </c>
      <c r="AN22" s="279">
        <f t="shared" si="13"/>
        <v>4262</v>
      </c>
      <c r="AO22" s="279">
        <f t="shared" si="14"/>
        <v>1572</v>
      </c>
      <c r="AP22" s="279">
        <f t="shared" si="15"/>
        <v>968973</v>
      </c>
      <c r="AQ22" s="279">
        <f t="shared" si="16"/>
        <v>685</v>
      </c>
      <c r="AR22" s="279">
        <f t="shared" si="17"/>
        <v>969658</v>
      </c>
      <c r="AS22" s="279">
        <f t="shared" si="18"/>
        <v>4218</v>
      </c>
      <c r="AT22" s="279">
        <f t="shared" si="19"/>
        <v>973876</v>
      </c>
      <c r="AU22" s="279">
        <f t="shared" si="20"/>
        <v>736</v>
      </c>
      <c r="AV22" s="279">
        <f t="shared" si="21"/>
        <v>974612</v>
      </c>
      <c r="AW22" s="393">
        <f t="shared" si="22"/>
        <v>34214</v>
      </c>
      <c r="AX22" s="394">
        <f t="shared" si="23"/>
        <v>1008826</v>
      </c>
    </row>
    <row r="23" spans="1:50" x14ac:dyDescent="0.2">
      <c r="A23" s="177" t="s">
        <v>15</v>
      </c>
      <c r="B23" s="181" t="s">
        <v>77</v>
      </c>
      <c r="C23" s="50">
        <f>Hivatal!AA21</f>
        <v>0</v>
      </c>
      <c r="D23" s="35"/>
      <c r="E23" s="35"/>
      <c r="F23" s="35"/>
      <c r="G23" s="12">
        <f>Hivatal!AD21</f>
        <v>0</v>
      </c>
      <c r="H23" s="12">
        <f t="shared" si="0"/>
        <v>0</v>
      </c>
      <c r="I23" s="12">
        <f>Hivatal!AF21</f>
        <v>0</v>
      </c>
      <c r="J23" s="12">
        <f t="shared" si="1"/>
        <v>0</v>
      </c>
      <c r="K23" s="12">
        <f>Hivatal!AH21</f>
        <v>0</v>
      </c>
      <c r="L23" s="12">
        <f t="shared" si="2"/>
        <v>0</v>
      </c>
      <c r="M23" s="113">
        <f>Hivatal!AJ21</f>
        <v>0</v>
      </c>
      <c r="N23" s="105">
        <f t="shared" si="3"/>
        <v>0</v>
      </c>
      <c r="O23" s="179">
        <f>Kostyán!AO21+Sportcs.!H21+Könyvtár!BH21+Gyöngysz.!AC21+Szivárvány!AM21+Pingvines!AK21</f>
        <v>0</v>
      </c>
      <c r="P23" s="183"/>
      <c r="Q23" s="183"/>
      <c r="R23" s="174">
        <f t="shared" si="24"/>
        <v>0</v>
      </c>
      <c r="S23" s="174">
        <f>Kostyán!AR21+Könyvtár!BK21+Gyöngysz.!AG21+Szivárvány!AP21+Pingvines!AN21</f>
        <v>0</v>
      </c>
      <c r="T23" s="174">
        <f t="shared" si="4"/>
        <v>0</v>
      </c>
      <c r="U23" s="174">
        <f>Könyvtár!BM21+Gyöngysz.!AI21+Szivárvány!AR21+Pingvines!AP21</f>
        <v>0</v>
      </c>
      <c r="V23" s="174">
        <f t="shared" si="5"/>
        <v>0</v>
      </c>
      <c r="W23" s="174">
        <f>Szivárvány!AT21+Pingvines!AR21+Gyöngysz.!AK21+Könyvtár!BO21</f>
        <v>0</v>
      </c>
      <c r="X23" s="174">
        <f t="shared" si="6"/>
        <v>0</v>
      </c>
      <c r="Y23" s="174">
        <f>Kostyán!AV21+Könyvtár!BQ21+Sportcs.!K21+Gyöngysz.!AM21+Szivárvány!AV21+Pingvines!AT21</f>
        <v>0</v>
      </c>
      <c r="Z23" s="175">
        <f t="shared" si="7"/>
        <v>0</v>
      </c>
      <c r="AA23" s="179">
        <v>829015000</v>
      </c>
      <c r="AB23" s="174">
        <v>3383</v>
      </c>
      <c r="AC23" s="174">
        <v>1572</v>
      </c>
      <c r="AD23" s="174">
        <v>833970</v>
      </c>
      <c r="AE23" s="174">
        <v>273</v>
      </c>
      <c r="AF23" s="174">
        <f t="shared" si="8"/>
        <v>834243</v>
      </c>
      <c r="AG23" s="174">
        <v>4020</v>
      </c>
      <c r="AH23" s="174">
        <f t="shared" si="9"/>
        <v>838263</v>
      </c>
      <c r="AI23" s="174">
        <f>'Város '!GV21</f>
        <v>336</v>
      </c>
      <c r="AJ23" s="174">
        <f t="shared" si="10"/>
        <v>838599</v>
      </c>
      <c r="AK23" s="174">
        <v>1758</v>
      </c>
      <c r="AL23" s="175">
        <f t="shared" si="11"/>
        <v>840357</v>
      </c>
      <c r="AM23" s="184">
        <f>C23+O23+AA23</f>
        <v>829015000</v>
      </c>
      <c r="AN23" s="279">
        <f t="shared" si="13"/>
        <v>3383</v>
      </c>
      <c r="AO23" s="279">
        <f t="shared" si="14"/>
        <v>1572</v>
      </c>
      <c r="AP23" s="279">
        <f t="shared" si="15"/>
        <v>833970</v>
      </c>
      <c r="AQ23" s="279">
        <f t="shared" si="16"/>
        <v>273</v>
      </c>
      <c r="AR23" s="279">
        <f t="shared" si="17"/>
        <v>834243</v>
      </c>
      <c r="AS23" s="279">
        <f t="shared" si="18"/>
        <v>4020</v>
      </c>
      <c r="AT23" s="279">
        <f t="shared" si="19"/>
        <v>838263</v>
      </c>
      <c r="AU23" s="279">
        <f t="shared" si="20"/>
        <v>336</v>
      </c>
      <c r="AV23" s="279">
        <f t="shared" si="21"/>
        <v>838599</v>
      </c>
      <c r="AW23" s="393">
        <v>1758</v>
      </c>
      <c r="AX23" s="394">
        <f t="shared" si="23"/>
        <v>840357</v>
      </c>
    </row>
    <row r="24" spans="1:50" s="7" customFormat="1" x14ac:dyDescent="0.2">
      <c r="A24" s="173" t="s">
        <v>16</v>
      </c>
      <c r="B24" s="182" t="s">
        <v>48</v>
      </c>
      <c r="C24" s="313">
        <f>Hivatal!AA22</f>
        <v>243802707</v>
      </c>
      <c r="D24" s="314">
        <v>7875</v>
      </c>
      <c r="E24" s="314"/>
      <c r="F24" s="314">
        <v>251678</v>
      </c>
      <c r="G24" s="314">
        <f>Hivatal!AD22</f>
        <v>310</v>
      </c>
      <c r="H24" s="314">
        <f t="shared" si="0"/>
        <v>251988</v>
      </c>
      <c r="I24" s="314">
        <f>Hivatal!AF22</f>
        <v>74</v>
      </c>
      <c r="J24" s="314">
        <f t="shared" si="1"/>
        <v>252062</v>
      </c>
      <c r="K24" s="314">
        <f>Hivatal!AH22</f>
        <v>148</v>
      </c>
      <c r="L24" s="314">
        <f t="shared" si="2"/>
        <v>252210</v>
      </c>
      <c r="M24" s="314">
        <f>Hivatal!AJ22</f>
        <v>459</v>
      </c>
      <c r="N24" s="356">
        <f t="shared" si="3"/>
        <v>252669</v>
      </c>
      <c r="O24" s="187">
        <v>831170000</v>
      </c>
      <c r="P24" s="185">
        <v>7337</v>
      </c>
      <c r="Q24" s="185">
        <v>1572</v>
      </c>
      <c r="R24" s="185">
        <v>840079</v>
      </c>
      <c r="S24" s="185">
        <f>Kostyán!AR22+Könyvtár!BK22+Gyöngysz.!AG22+Szivárvány!AP22+Pingvines!AN22</f>
        <v>284</v>
      </c>
      <c r="T24" s="185">
        <f t="shared" si="4"/>
        <v>840363</v>
      </c>
      <c r="U24" s="185">
        <f>Könyvtár!BM22+Gyöngysz.!AI22+Szivárvány!AR22+Pingvines!AP22</f>
        <v>6764</v>
      </c>
      <c r="V24" s="185">
        <f t="shared" si="5"/>
        <v>847127</v>
      </c>
      <c r="W24" s="185">
        <f>Szivárvány!AT22+Pingvines!AR22+Gyöngysz.!AK22+Könyvtár!BO22</f>
        <v>1672</v>
      </c>
      <c r="X24" s="185">
        <f t="shared" si="6"/>
        <v>848799</v>
      </c>
      <c r="Y24" s="185">
        <f>Kostyán!AV22+Könyvtár!BQ22+Sportcs.!K22+Gyöngysz.!AM22+Szivárvány!AV22+Pingvines!AT22</f>
        <v>8872</v>
      </c>
      <c r="Z24" s="186">
        <f t="shared" si="7"/>
        <v>857671</v>
      </c>
      <c r="AA24" s="187">
        <v>2198357000</v>
      </c>
      <c r="AB24" s="185">
        <f>AB17+AB21+AB22</f>
        <v>64752</v>
      </c>
      <c r="AC24" s="185">
        <f>AC17+AC22</f>
        <v>0</v>
      </c>
      <c r="AD24" s="185">
        <v>2267181</v>
      </c>
      <c r="AE24" s="185">
        <f>AE17+AE21+AE22</f>
        <v>60835</v>
      </c>
      <c r="AF24" s="185">
        <f>SUM(AD24:AE24)+1</f>
        <v>2328017</v>
      </c>
      <c r="AG24" s="185">
        <f>AG17+AG21+AG22</f>
        <v>72989</v>
      </c>
      <c r="AH24" s="185">
        <f t="shared" si="9"/>
        <v>2401006</v>
      </c>
      <c r="AI24" s="185">
        <f>AI17+AI21+AI22</f>
        <v>16081</v>
      </c>
      <c r="AJ24" s="185">
        <f t="shared" si="10"/>
        <v>2417087</v>
      </c>
      <c r="AK24" s="185">
        <f>AK17+AK21+AK22</f>
        <v>162712</v>
      </c>
      <c r="AL24" s="186">
        <f t="shared" si="11"/>
        <v>2579799</v>
      </c>
      <c r="AM24" s="187">
        <v>3273330000</v>
      </c>
      <c r="AN24" s="185">
        <f t="shared" si="13"/>
        <v>79964</v>
      </c>
      <c r="AO24" s="185">
        <f t="shared" si="14"/>
        <v>1572</v>
      </c>
      <c r="AP24" s="185">
        <v>3358938</v>
      </c>
      <c r="AQ24" s="185">
        <f>G24+S24+AE24+1</f>
        <v>61430</v>
      </c>
      <c r="AR24" s="185">
        <f t="shared" si="17"/>
        <v>3420368</v>
      </c>
      <c r="AS24" s="185">
        <f>I24+U24+AG24</f>
        <v>79827</v>
      </c>
      <c r="AT24" s="185">
        <f t="shared" si="19"/>
        <v>3500195</v>
      </c>
      <c r="AU24" s="185">
        <f t="shared" si="20"/>
        <v>17901</v>
      </c>
      <c r="AV24" s="185">
        <f t="shared" si="21"/>
        <v>3518096</v>
      </c>
      <c r="AW24" s="185">
        <f t="shared" si="22"/>
        <v>172043</v>
      </c>
      <c r="AX24" s="188">
        <f t="shared" si="23"/>
        <v>3690139</v>
      </c>
    </row>
    <row r="25" spans="1:50" s="7" customFormat="1" x14ac:dyDescent="0.2">
      <c r="A25" s="173"/>
      <c r="B25" s="178" t="s">
        <v>126</v>
      </c>
      <c r="C25" s="50">
        <v>0</v>
      </c>
      <c r="D25" s="315"/>
      <c r="E25" s="315"/>
      <c r="F25" s="315"/>
      <c r="G25" s="315"/>
      <c r="H25" s="315"/>
      <c r="I25" s="12">
        <f>Hivatal!AF23</f>
        <v>0</v>
      </c>
      <c r="J25" s="12">
        <f t="shared" si="1"/>
        <v>0</v>
      </c>
      <c r="K25" s="12"/>
      <c r="L25" s="12"/>
      <c r="M25" s="12"/>
      <c r="N25" s="105"/>
      <c r="O25" s="357">
        <v>0</v>
      </c>
      <c r="P25" s="183"/>
      <c r="Q25" s="183"/>
      <c r="R25" s="174">
        <f t="shared" si="24"/>
        <v>0</v>
      </c>
      <c r="S25" s="174">
        <f>Kostyán!AR23+Könyvtár!BK23+Gyöngysz.!AG23+Szivárvány!AP23+Pingvines!AN23</f>
        <v>0</v>
      </c>
      <c r="T25" s="174">
        <f t="shared" si="4"/>
        <v>0</v>
      </c>
      <c r="U25" s="174">
        <f>Könyvtár!BM23+Gyöngysz.!AI23+Szivárvány!AR23+Pingvines!AP23</f>
        <v>0</v>
      </c>
      <c r="V25" s="174">
        <f t="shared" si="5"/>
        <v>0</v>
      </c>
      <c r="W25" s="174"/>
      <c r="X25" s="174">
        <f t="shared" si="6"/>
        <v>0</v>
      </c>
      <c r="Y25" s="174">
        <f>Kostyán!AV23+Könyvtár!BQ23+Sportcs.!K23+Gyöngysz.!AM23+Szivárvány!AV23+Pingvines!AT23</f>
        <v>0</v>
      </c>
      <c r="Z25" s="175">
        <f t="shared" si="7"/>
        <v>0</v>
      </c>
      <c r="AA25" s="179">
        <v>829014858</v>
      </c>
      <c r="AB25" s="174">
        <v>3383</v>
      </c>
      <c r="AC25" s="174">
        <v>1572</v>
      </c>
      <c r="AD25" s="174">
        <v>833970</v>
      </c>
      <c r="AE25" s="174">
        <v>273</v>
      </c>
      <c r="AF25" s="174">
        <f t="shared" si="8"/>
        <v>834243</v>
      </c>
      <c r="AG25" s="174">
        <v>4020</v>
      </c>
      <c r="AH25" s="174">
        <f t="shared" si="9"/>
        <v>838263</v>
      </c>
      <c r="AI25" s="174">
        <v>336</v>
      </c>
      <c r="AJ25" s="174">
        <f t="shared" si="10"/>
        <v>838599</v>
      </c>
      <c r="AK25" s="174">
        <v>1758</v>
      </c>
      <c r="AL25" s="175">
        <f>SUM(AJ25:AK25)</f>
        <v>840357</v>
      </c>
      <c r="AM25" s="184">
        <f>C25+O25+AA25</f>
        <v>829014858</v>
      </c>
      <c r="AN25" s="279">
        <f t="shared" si="13"/>
        <v>3383</v>
      </c>
      <c r="AO25" s="279">
        <f t="shared" si="14"/>
        <v>1572</v>
      </c>
      <c r="AP25" s="279">
        <v>833970</v>
      </c>
      <c r="AQ25" s="279">
        <f t="shared" si="16"/>
        <v>273</v>
      </c>
      <c r="AR25" s="279">
        <f t="shared" si="17"/>
        <v>834243</v>
      </c>
      <c r="AS25" s="279">
        <f t="shared" si="18"/>
        <v>4020</v>
      </c>
      <c r="AT25" s="279">
        <f t="shared" si="19"/>
        <v>838263</v>
      </c>
      <c r="AU25" s="279">
        <f t="shared" si="20"/>
        <v>336</v>
      </c>
      <c r="AV25" s="279">
        <f t="shared" si="21"/>
        <v>838599</v>
      </c>
      <c r="AW25" s="393">
        <v>1758</v>
      </c>
      <c r="AX25" s="394">
        <f t="shared" si="23"/>
        <v>840357</v>
      </c>
    </row>
    <row r="26" spans="1:50" s="7" customFormat="1" x14ac:dyDescent="0.2">
      <c r="A26" s="173"/>
      <c r="B26" s="182" t="s">
        <v>127</v>
      </c>
      <c r="C26" s="313">
        <f t="shared" ref="C26:AA26" si="25">C24-C25</f>
        <v>243802707</v>
      </c>
      <c r="D26" s="314">
        <f t="shared" si="25"/>
        <v>7875</v>
      </c>
      <c r="E26" s="314"/>
      <c r="F26" s="314">
        <f t="shared" si="25"/>
        <v>251678</v>
      </c>
      <c r="G26" s="314">
        <v>310</v>
      </c>
      <c r="H26" s="314">
        <f>SUM(H24)</f>
        <v>251988</v>
      </c>
      <c r="I26" s="314">
        <v>74</v>
      </c>
      <c r="J26" s="314">
        <f t="shared" si="1"/>
        <v>252062</v>
      </c>
      <c r="K26" s="314">
        <v>148</v>
      </c>
      <c r="L26" s="314">
        <f>SUM(J26:K26)</f>
        <v>252210</v>
      </c>
      <c r="M26" s="314">
        <v>459</v>
      </c>
      <c r="N26" s="356">
        <v>252669</v>
      </c>
      <c r="O26" s="187">
        <f t="shared" si="25"/>
        <v>831170000</v>
      </c>
      <c r="P26" s="185">
        <f t="shared" si="25"/>
        <v>7337</v>
      </c>
      <c r="Q26" s="185">
        <v>1572</v>
      </c>
      <c r="R26" s="185">
        <v>840079</v>
      </c>
      <c r="S26" s="185">
        <v>284</v>
      </c>
      <c r="T26" s="185">
        <f t="shared" si="4"/>
        <v>840363</v>
      </c>
      <c r="U26" s="185">
        <v>6764</v>
      </c>
      <c r="V26" s="185">
        <f t="shared" si="5"/>
        <v>847127</v>
      </c>
      <c r="W26" s="185">
        <v>1672</v>
      </c>
      <c r="X26" s="185">
        <f t="shared" si="6"/>
        <v>848799</v>
      </c>
      <c r="Y26" s="185">
        <v>8872</v>
      </c>
      <c r="Z26" s="186">
        <f t="shared" si="7"/>
        <v>857671</v>
      </c>
      <c r="AA26" s="187">
        <f t="shared" si="25"/>
        <v>1369342142</v>
      </c>
      <c r="AB26" s="185">
        <v>65441</v>
      </c>
      <c r="AC26" s="185">
        <v>-1572</v>
      </c>
      <c r="AD26" s="185">
        <v>1433211</v>
      </c>
      <c r="AE26" s="185">
        <f>AE24-AE25</f>
        <v>60562</v>
      </c>
      <c r="AF26" s="185">
        <f t="shared" si="8"/>
        <v>1493773</v>
      </c>
      <c r="AG26" s="185">
        <f>AG24-AG25</f>
        <v>68969</v>
      </c>
      <c r="AH26" s="185">
        <f t="shared" si="9"/>
        <v>1562742</v>
      </c>
      <c r="AI26" s="185">
        <f>AI24-AI25</f>
        <v>15745</v>
      </c>
      <c r="AJ26" s="185">
        <f t="shared" si="10"/>
        <v>1578487</v>
      </c>
      <c r="AK26" s="185">
        <f>AK24-AK25</f>
        <v>160954</v>
      </c>
      <c r="AL26" s="186">
        <f>SUM(AJ26:AK26)</f>
        <v>1739441</v>
      </c>
      <c r="AM26" s="187">
        <f>AM24-AM25</f>
        <v>2444315142</v>
      </c>
      <c r="AN26" s="185">
        <f t="shared" si="13"/>
        <v>80653</v>
      </c>
      <c r="AO26" s="185">
        <f t="shared" si="14"/>
        <v>0</v>
      </c>
      <c r="AP26" s="185">
        <v>2524968</v>
      </c>
      <c r="AQ26" s="185">
        <f t="shared" si="16"/>
        <v>61156</v>
      </c>
      <c r="AR26" s="185">
        <f>SUM(AP26:AQ26)+1</f>
        <v>2586125</v>
      </c>
      <c r="AS26" s="185">
        <f>AS24-AS25</f>
        <v>75807</v>
      </c>
      <c r="AT26" s="185">
        <f t="shared" si="19"/>
        <v>2661932</v>
      </c>
      <c r="AU26" s="185">
        <f t="shared" si="20"/>
        <v>17565</v>
      </c>
      <c r="AV26" s="185">
        <f t="shared" si="21"/>
        <v>2679497</v>
      </c>
      <c r="AW26" s="185">
        <f t="shared" si="22"/>
        <v>170285</v>
      </c>
      <c r="AX26" s="188">
        <f t="shared" si="23"/>
        <v>2849782</v>
      </c>
    </row>
    <row r="27" spans="1:50" x14ac:dyDescent="0.2">
      <c r="A27" s="413" t="s">
        <v>55</v>
      </c>
      <c r="B27" s="414"/>
      <c r="C27" s="50"/>
      <c r="D27" s="12"/>
      <c r="E27" s="12"/>
      <c r="F27" s="12"/>
      <c r="G27" s="12"/>
      <c r="H27" s="12"/>
      <c r="I27" s="12">
        <f>Hivatal!AF25</f>
        <v>0</v>
      </c>
      <c r="J27" s="12">
        <f t="shared" si="1"/>
        <v>0</v>
      </c>
      <c r="K27" s="12"/>
      <c r="L27" s="12"/>
      <c r="M27" s="12"/>
      <c r="N27" s="105"/>
      <c r="O27" s="179"/>
      <c r="P27" s="174"/>
      <c r="Q27" s="174"/>
      <c r="R27" s="174">
        <f t="shared" si="24"/>
        <v>0</v>
      </c>
      <c r="S27" s="174">
        <f>Kostyán!AR25+Könyvtár!BK25+Gyöngysz.!AG25+Szivárvány!AP25+Pingvines!AN25</f>
        <v>0</v>
      </c>
      <c r="T27" s="174">
        <f t="shared" si="4"/>
        <v>0</v>
      </c>
      <c r="U27" s="174">
        <f>Könyvtár!BM25+Gyöngysz.!AI25+Szivárvány!AR25+Pingvines!AP25</f>
        <v>0</v>
      </c>
      <c r="V27" s="174">
        <f t="shared" si="5"/>
        <v>0</v>
      </c>
      <c r="W27" s="174"/>
      <c r="X27" s="174">
        <f t="shared" si="6"/>
        <v>0</v>
      </c>
      <c r="Y27" s="174"/>
      <c r="Z27" s="175">
        <f t="shared" si="7"/>
        <v>0</v>
      </c>
      <c r="AA27" s="179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5"/>
      <c r="AM27" s="184"/>
      <c r="AN27" s="279">
        <f t="shared" si="13"/>
        <v>0</v>
      </c>
      <c r="AO27" s="279"/>
      <c r="AP27" s="279">
        <f t="shared" si="15"/>
        <v>0</v>
      </c>
      <c r="AQ27" s="279">
        <f t="shared" si="16"/>
        <v>0</v>
      </c>
      <c r="AR27" s="279">
        <f t="shared" si="17"/>
        <v>0</v>
      </c>
      <c r="AS27" s="279">
        <f t="shared" si="18"/>
        <v>0</v>
      </c>
      <c r="AT27" s="279">
        <f t="shared" si="19"/>
        <v>0</v>
      </c>
      <c r="AU27" s="279">
        <f t="shared" si="20"/>
        <v>0</v>
      </c>
      <c r="AV27" s="279">
        <f t="shared" si="21"/>
        <v>0</v>
      </c>
      <c r="AW27" s="393">
        <f t="shared" si="22"/>
        <v>0</v>
      </c>
      <c r="AX27" s="394">
        <f t="shared" si="23"/>
        <v>0</v>
      </c>
    </row>
    <row r="28" spans="1:50" x14ac:dyDescent="0.2">
      <c r="A28" s="177" t="s">
        <v>17</v>
      </c>
      <c r="B28" s="178" t="s">
        <v>78</v>
      </c>
      <c r="C28" s="50">
        <f>Hivatal!AA24</f>
        <v>0</v>
      </c>
      <c r="D28" s="12">
        <v>4045</v>
      </c>
      <c r="E28" s="12"/>
      <c r="F28" s="12">
        <v>4045</v>
      </c>
      <c r="G28" s="12">
        <f>Hivatal!AD24</f>
        <v>0</v>
      </c>
      <c r="H28" s="12">
        <f>SUM(F28:G28)</f>
        <v>4045</v>
      </c>
      <c r="I28" s="12">
        <f>Hivatal!AF26</f>
        <v>0</v>
      </c>
      <c r="J28" s="12">
        <f t="shared" si="1"/>
        <v>4045</v>
      </c>
      <c r="K28" s="12">
        <f>Hivatal!AH24</f>
        <v>0</v>
      </c>
      <c r="L28" s="12">
        <f>SUM(J28:K28)</f>
        <v>4045</v>
      </c>
      <c r="M28" s="12">
        <f>Hivatal!AJ24</f>
        <v>0</v>
      </c>
      <c r="N28" s="105">
        <f>SUM(L28:M28)</f>
        <v>4045</v>
      </c>
      <c r="O28" s="179">
        <f>Kostyán!AO24+Sportcs.!H24+Könyvtár!BH24+Gyöngysz.!AC23+Szivárvány!AM24+Pingvines!AK24</f>
        <v>211835469</v>
      </c>
      <c r="P28" s="174">
        <v>1879</v>
      </c>
      <c r="Q28" s="174"/>
      <c r="R28" s="174">
        <v>213714</v>
      </c>
      <c r="S28" s="174">
        <f>Kostyán!AR26+Könyvtár!BK26+Gyöngysz.!AG26+Szivárvány!AP26+Pingvines!AN26</f>
        <v>0</v>
      </c>
      <c r="T28" s="174">
        <f t="shared" si="4"/>
        <v>213714</v>
      </c>
      <c r="U28" s="174">
        <v>2818</v>
      </c>
      <c r="V28" s="174">
        <f t="shared" si="5"/>
        <v>216532</v>
      </c>
      <c r="W28" s="174">
        <f>Könyvtár!BO24+Kostyán!AT24+Gyöngysz.!AK24+Szivárvány!AT24+Pingvines!AR24</f>
        <v>1484</v>
      </c>
      <c r="X28" s="174">
        <f t="shared" si="6"/>
        <v>218016</v>
      </c>
      <c r="Y28" s="174">
        <f>Kostyán!AV24+Könyvtár!BQ24+Sportcs.!K24+Gyöngysz.!AM24+Szivárvány!AV24+Pingvines!AT24</f>
        <v>6422</v>
      </c>
      <c r="Z28" s="175">
        <f t="shared" si="7"/>
        <v>224438</v>
      </c>
      <c r="AA28" s="176">
        <f>'Város '!GN25</f>
        <v>983512</v>
      </c>
      <c r="AB28" s="174">
        <f>'Város '!GO25</f>
        <v>5967</v>
      </c>
      <c r="AC28" s="174"/>
      <c r="AD28" s="174">
        <v>989479</v>
      </c>
      <c r="AE28" s="174">
        <f>'Város '!GR25</f>
        <v>55278</v>
      </c>
      <c r="AF28" s="174">
        <f>SUM(AD28:AE28)</f>
        <v>1044757</v>
      </c>
      <c r="AG28" s="174">
        <f>'Város '!GT25</f>
        <v>11065</v>
      </c>
      <c r="AH28" s="174">
        <f>SUM(AF28:AG28)</f>
        <v>1055822</v>
      </c>
      <c r="AI28" s="174">
        <f>'Város '!GV25</f>
        <v>3455</v>
      </c>
      <c r="AJ28" s="174">
        <f>SUM(AH28:AI28)</f>
        <v>1059277</v>
      </c>
      <c r="AK28" s="174">
        <f>'Város '!GX25</f>
        <v>10530</v>
      </c>
      <c r="AL28" s="175">
        <f>SUM(AJ28:AK28)</f>
        <v>1069807</v>
      </c>
      <c r="AM28" s="281">
        <v>1195347</v>
      </c>
      <c r="AN28" s="279">
        <f t="shared" si="13"/>
        <v>11891</v>
      </c>
      <c r="AO28" s="279"/>
      <c r="AP28" s="279">
        <f t="shared" si="15"/>
        <v>1207238</v>
      </c>
      <c r="AQ28" s="279">
        <f t="shared" si="16"/>
        <v>55278</v>
      </c>
      <c r="AR28" s="279">
        <f t="shared" si="17"/>
        <v>1262516</v>
      </c>
      <c r="AS28" s="279">
        <f t="shared" si="18"/>
        <v>13883</v>
      </c>
      <c r="AT28" s="279">
        <f t="shared" si="19"/>
        <v>1276399</v>
      </c>
      <c r="AU28" s="279">
        <f t="shared" si="20"/>
        <v>4939</v>
      </c>
      <c r="AV28" s="279">
        <f t="shared" si="21"/>
        <v>1281338</v>
      </c>
      <c r="AW28" s="393">
        <f t="shared" si="22"/>
        <v>16952</v>
      </c>
      <c r="AX28" s="394">
        <f t="shared" si="23"/>
        <v>1298290</v>
      </c>
    </row>
    <row r="29" spans="1:50" x14ac:dyDescent="0.2">
      <c r="A29" s="177" t="s">
        <v>18</v>
      </c>
      <c r="B29" s="181" t="s">
        <v>79</v>
      </c>
      <c r="C29" s="50">
        <f>Hivatal!AA25</f>
        <v>0</v>
      </c>
      <c r="D29" s="316"/>
      <c r="E29" s="316"/>
      <c r="F29" s="316"/>
      <c r="G29" s="12">
        <f>Hivatal!AD25</f>
        <v>0</v>
      </c>
      <c r="H29" s="12">
        <f t="shared" ref="H29:H44" si="26">SUM(F29:G29)</f>
        <v>0</v>
      </c>
      <c r="I29" s="12">
        <f>Hivatal!AF27</f>
        <v>0</v>
      </c>
      <c r="J29" s="12">
        <f t="shared" si="1"/>
        <v>0</v>
      </c>
      <c r="K29" s="12">
        <f>Hivatal!AH25</f>
        <v>0</v>
      </c>
      <c r="L29" s="12">
        <f t="shared" ref="L29:L42" si="27">SUM(J29:K29)</f>
        <v>0</v>
      </c>
      <c r="M29" s="12">
        <f>Hivatal!AJ25</f>
        <v>0</v>
      </c>
      <c r="N29" s="105">
        <f t="shared" ref="N29:N45" si="28">SUM(L29:M29)</f>
        <v>0</v>
      </c>
      <c r="O29" s="179">
        <f>Kostyán!AO25+Sportcs.!H25+Könyvtár!BH25+Gyöngysz.!AC25+Szivárvány!AM25+Pingvines!AK25</f>
        <v>0</v>
      </c>
      <c r="P29" s="189"/>
      <c r="Q29" s="189"/>
      <c r="R29" s="174">
        <f t="shared" si="24"/>
        <v>0</v>
      </c>
      <c r="S29" s="174">
        <v>0</v>
      </c>
      <c r="T29" s="174">
        <f t="shared" si="4"/>
        <v>0</v>
      </c>
      <c r="U29" s="174">
        <f>Könyvtár!BM27+Gyöngysz.!AI27+Szivárvány!AR27+Pingvines!AP27</f>
        <v>0</v>
      </c>
      <c r="V29" s="174">
        <f t="shared" si="5"/>
        <v>0</v>
      </c>
      <c r="W29" s="174">
        <f>Könyvtár!BO25+Kostyán!AT25+Gyöngysz.!AK25+Szivárvány!AT25+Pingvines!AR25</f>
        <v>0</v>
      </c>
      <c r="X29" s="174">
        <f t="shared" si="6"/>
        <v>0</v>
      </c>
      <c r="Y29" s="174">
        <f>Kostyán!AV25+Könyvtár!BQ25+Sportcs.!K25+Gyöngysz.!AM25+Szivárvány!AV25+Pingvines!AT25</f>
        <v>0</v>
      </c>
      <c r="Z29" s="175">
        <f t="shared" si="7"/>
        <v>0</v>
      </c>
      <c r="AA29" s="176">
        <f>'Város '!GN26</f>
        <v>966862</v>
      </c>
      <c r="AB29" s="174">
        <f>'Város '!GO26</f>
        <v>4742</v>
      </c>
      <c r="AC29" s="174"/>
      <c r="AD29" s="174">
        <v>971604</v>
      </c>
      <c r="AE29" s="174">
        <f>'Város '!GR26</f>
        <v>13983</v>
      </c>
      <c r="AF29" s="174">
        <f t="shared" ref="AF29:AF45" si="29">SUM(AD29:AE29)</f>
        <v>985587</v>
      </c>
      <c r="AG29" s="174">
        <f>'Város '!GT26</f>
        <v>9464</v>
      </c>
      <c r="AH29" s="174">
        <f t="shared" ref="AH29:AH44" si="30">SUM(AF29:AG29)</f>
        <v>995051</v>
      </c>
      <c r="AI29" s="174">
        <f>'Város '!GV26</f>
        <v>778</v>
      </c>
      <c r="AJ29" s="174">
        <f t="shared" ref="AJ29:AJ44" si="31">SUM(AH29:AI29)</f>
        <v>995829</v>
      </c>
      <c r="AK29" s="174">
        <f>'Város '!GX26</f>
        <v>8753</v>
      </c>
      <c r="AL29" s="175">
        <f t="shared" ref="AL29:AL45" si="32">SUM(AJ29:AK29)</f>
        <v>1004582</v>
      </c>
      <c r="AM29" s="281">
        <v>966862</v>
      </c>
      <c r="AN29" s="279">
        <f t="shared" si="13"/>
        <v>4742</v>
      </c>
      <c r="AO29" s="279"/>
      <c r="AP29" s="279">
        <f t="shared" si="15"/>
        <v>971604</v>
      </c>
      <c r="AQ29" s="279">
        <f t="shared" si="16"/>
        <v>13983</v>
      </c>
      <c r="AR29" s="279">
        <f t="shared" si="17"/>
        <v>985587</v>
      </c>
      <c r="AS29" s="279">
        <f t="shared" si="18"/>
        <v>9464</v>
      </c>
      <c r="AT29" s="279">
        <f t="shared" si="19"/>
        <v>995051</v>
      </c>
      <c r="AU29" s="279">
        <f t="shared" si="20"/>
        <v>778</v>
      </c>
      <c r="AV29" s="279">
        <f t="shared" si="21"/>
        <v>995829</v>
      </c>
      <c r="AW29" s="393">
        <f t="shared" si="22"/>
        <v>8753</v>
      </c>
      <c r="AX29" s="394">
        <f t="shared" si="23"/>
        <v>1004582</v>
      </c>
    </row>
    <row r="30" spans="1:50" x14ac:dyDescent="0.2">
      <c r="A30" s="177" t="s">
        <v>19</v>
      </c>
      <c r="B30" s="178" t="s">
        <v>40</v>
      </c>
      <c r="C30" s="50">
        <f>Hivatal!AA26</f>
        <v>150000</v>
      </c>
      <c r="D30" s="12"/>
      <c r="E30" s="12"/>
      <c r="F30" s="12">
        <v>150</v>
      </c>
      <c r="G30" s="12">
        <f>Hivatal!AD26</f>
        <v>0</v>
      </c>
      <c r="H30" s="12">
        <f t="shared" si="26"/>
        <v>150</v>
      </c>
      <c r="I30" s="12">
        <f>Hivatal!AF28</f>
        <v>0</v>
      </c>
      <c r="J30" s="12">
        <f t="shared" si="1"/>
        <v>150</v>
      </c>
      <c r="K30" s="12">
        <f>Hivatal!AH26</f>
        <v>0</v>
      </c>
      <c r="L30" s="12">
        <f t="shared" si="27"/>
        <v>150</v>
      </c>
      <c r="M30" s="12">
        <f>Hivatal!AJ26</f>
        <v>0</v>
      </c>
      <c r="N30" s="105">
        <f t="shared" si="28"/>
        <v>150</v>
      </c>
      <c r="O30" s="179">
        <f>Kostyán!AO26+Sportcs.!H26+Könyvtár!BH26+Gyöngysz.!AC26+Szivárvány!AM26+Pingvines!AK26</f>
        <v>0</v>
      </c>
      <c r="P30" s="174"/>
      <c r="Q30" s="174"/>
      <c r="R30" s="174">
        <f t="shared" si="24"/>
        <v>0</v>
      </c>
      <c r="S30" s="174">
        <f>Kostyán!AR28+Könyvtár!BK28+Gyöngysz.!AG28+Szivárvány!AP28+Pingvines!AN28</f>
        <v>0</v>
      </c>
      <c r="T30" s="174">
        <f t="shared" si="4"/>
        <v>0</v>
      </c>
      <c r="U30" s="174">
        <f>Könyvtár!BM28+Gyöngysz.!AI28+Szivárvány!AR28+Pingvines!AP28</f>
        <v>0</v>
      </c>
      <c r="V30" s="174">
        <f t="shared" si="5"/>
        <v>0</v>
      </c>
      <c r="W30" s="174">
        <f>Könyvtár!BO26+Kostyán!AT26+Gyöngysz.!AK26+Szivárvány!AT26+Pingvines!AR26</f>
        <v>0</v>
      </c>
      <c r="X30" s="174">
        <f t="shared" si="6"/>
        <v>0</v>
      </c>
      <c r="Y30" s="174">
        <f>Kostyán!AV26+Könyvtár!BQ26+Sportcs.!K26+Gyöngysz.!AM26+Szivárvány!AV26+Pingvines!AT26</f>
        <v>0</v>
      </c>
      <c r="Z30" s="175">
        <f t="shared" si="7"/>
        <v>0</v>
      </c>
      <c r="AA30" s="179">
        <f>'Város '!GN27</f>
        <v>315004280</v>
      </c>
      <c r="AB30" s="174">
        <f>'Város '!GO27</f>
        <v>0</v>
      </c>
      <c r="AC30" s="174"/>
      <c r="AD30" s="174">
        <v>315004</v>
      </c>
      <c r="AE30" s="174">
        <f>'Város '!GR27</f>
        <v>0</v>
      </c>
      <c r="AF30" s="174">
        <f t="shared" si="29"/>
        <v>315004</v>
      </c>
      <c r="AG30" s="174">
        <f>'Város '!GT27</f>
        <v>0</v>
      </c>
      <c r="AH30" s="174">
        <f t="shared" si="30"/>
        <v>315004</v>
      </c>
      <c r="AI30" s="174">
        <f>'Város '!GV27</f>
        <v>12082</v>
      </c>
      <c r="AJ30" s="174">
        <f t="shared" si="31"/>
        <v>327086</v>
      </c>
      <c r="AK30" s="174">
        <f>'Város '!GX27</f>
        <v>54394</v>
      </c>
      <c r="AL30" s="175">
        <f t="shared" si="32"/>
        <v>381480</v>
      </c>
      <c r="AM30" s="184">
        <f t="shared" si="12"/>
        <v>315154280</v>
      </c>
      <c r="AN30" s="279">
        <f t="shared" si="13"/>
        <v>0</v>
      </c>
      <c r="AO30" s="279"/>
      <c r="AP30" s="279">
        <f t="shared" si="15"/>
        <v>315154</v>
      </c>
      <c r="AQ30" s="279">
        <f t="shared" si="16"/>
        <v>0</v>
      </c>
      <c r="AR30" s="279">
        <f t="shared" si="17"/>
        <v>315154</v>
      </c>
      <c r="AS30" s="279">
        <f t="shared" si="18"/>
        <v>0</v>
      </c>
      <c r="AT30" s="279">
        <f t="shared" si="19"/>
        <v>315154</v>
      </c>
      <c r="AU30" s="279">
        <f t="shared" si="20"/>
        <v>12082</v>
      </c>
      <c r="AV30" s="279">
        <f t="shared" si="21"/>
        <v>327236</v>
      </c>
      <c r="AW30" s="393">
        <f t="shared" si="22"/>
        <v>54394</v>
      </c>
      <c r="AX30" s="394">
        <f t="shared" si="23"/>
        <v>381630</v>
      </c>
    </row>
    <row r="31" spans="1:50" x14ac:dyDescent="0.2">
      <c r="A31" s="177" t="s">
        <v>20</v>
      </c>
      <c r="B31" s="178" t="s">
        <v>49</v>
      </c>
      <c r="C31" s="50">
        <f>Hivatal!AA27</f>
        <v>3622500</v>
      </c>
      <c r="D31" s="12">
        <v>242</v>
      </c>
      <c r="E31" s="12"/>
      <c r="F31" s="12">
        <v>3865</v>
      </c>
      <c r="G31" s="12">
        <f>Hivatal!AD27</f>
        <v>160</v>
      </c>
      <c r="H31" s="12">
        <f t="shared" si="26"/>
        <v>4025</v>
      </c>
      <c r="I31" s="12">
        <f>Hivatal!AF29</f>
        <v>0</v>
      </c>
      <c r="J31" s="12">
        <f t="shared" si="1"/>
        <v>4025</v>
      </c>
      <c r="K31" s="12">
        <f>Hivatal!AH27</f>
        <v>0</v>
      </c>
      <c r="L31" s="12">
        <f t="shared" si="27"/>
        <v>4025</v>
      </c>
      <c r="M31" s="12">
        <f>Hivatal!AJ27</f>
        <v>312</v>
      </c>
      <c r="N31" s="105">
        <f t="shared" si="28"/>
        <v>4337</v>
      </c>
      <c r="O31" s="179">
        <f>Kostyán!AO27+Sportcs.!H27+Könyvtár!BH27+Gyöngysz.!AC27+Szivárvány!AM27+Pingvines!AK27</f>
        <v>19349940</v>
      </c>
      <c r="P31" s="174"/>
      <c r="Q31" s="174"/>
      <c r="R31" s="174">
        <f t="shared" si="24"/>
        <v>19349.939999999999</v>
      </c>
      <c r="S31" s="174">
        <f>Kostyán!AR29+Könyvtár!BK29+Gyöngysz.!AG29+Szivárvány!AP29+Pingvines!AN29</f>
        <v>161</v>
      </c>
      <c r="T31" s="174">
        <f t="shared" si="4"/>
        <v>19510.939999999999</v>
      </c>
      <c r="U31" s="174">
        <v>0</v>
      </c>
      <c r="V31" s="174">
        <f t="shared" si="5"/>
        <v>19510.939999999999</v>
      </c>
      <c r="W31" s="174">
        <f>Könyvtár!BO27+Kostyán!AT27+Gyöngysz.!AK27+Szivárvány!AT27+Pingvines!AR27</f>
        <v>0</v>
      </c>
      <c r="X31" s="174">
        <f t="shared" si="6"/>
        <v>19510.939999999999</v>
      </c>
      <c r="Y31" s="174">
        <f>Kostyán!AV27+Könyvtár!BQ27+Sportcs.!K27+Gyöngysz.!AM27+Szivárvány!AV27+Pingvines!AT27</f>
        <v>779</v>
      </c>
      <c r="Z31" s="175">
        <f t="shared" si="7"/>
        <v>20289.939999999999</v>
      </c>
      <c r="AA31" s="179">
        <f>'Város '!GN28</f>
        <v>122070100</v>
      </c>
      <c r="AB31" s="174">
        <f>'Város '!GO28</f>
        <v>4687</v>
      </c>
      <c r="AC31" s="174"/>
      <c r="AD31" s="174">
        <v>126757</v>
      </c>
      <c r="AE31" s="174">
        <f>'Város '!GR28</f>
        <v>0</v>
      </c>
      <c r="AF31" s="174">
        <f t="shared" si="29"/>
        <v>126757</v>
      </c>
      <c r="AG31" s="174">
        <f>'Város '!GT28</f>
        <v>2314</v>
      </c>
      <c r="AH31" s="174">
        <f t="shared" si="30"/>
        <v>129071</v>
      </c>
      <c r="AI31" s="174">
        <f>'Város '!GV28</f>
        <v>0</v>
      </c>
      <c r="AJ31" s="174">
        <f t="shared" si="31"/>
        <v>129071</v>
      </c>
      <c r="AK31" s="174">
        <f>'Város '!GX28</f>
        <v>21800</v>
      </c>
      <c r="AL31" s="175">
        <f t="shared" si="32"/>
        <v>150871</v>
      </c>
      <c r="AM31" s="184">
        <f t="shared" si="12"/>
        <v>145042540</v>
      </c>
      <c r="AN31" s="279">
        <f t="shared" si="13"/>
        <v>4929</v>
      </c>
      <c r="AO31" s="279"/>
      <c r="AP31" s="279">
        <f t="shared" si="15"/>
        <v>149971.94</v>
      </c>
      <c r="AQ31" s="279">
        <f t="shared" si="16"/>
        <v>321</v>
      </c>
      <c r="AR31" s="279">
        <f t="shared" si="17"/>
        <v>150292.94</v>
      </c>
      <c r="AS31" s="279">
        <f t="shared" si="18"/>
        <v>2314</v>
      </c>
      <c r="AT31" s="279">
        <f t="shared" si="19"/>
        <v>152606.94</v>
      </c>
      <c r="AU31" s="279">
        <f t="shared" si="20"/>
        <v>0</v>
      </c>
      <c r="AV31" s="279">
        <f t="shared" si="21"/>
        <v>152606.94</v>
      </c>
      <c r="AW31" s="393">
        <f t="shared" si="22"/>
        <v>22891</v>
      </c>
      <c r="AX31" s="394">
        <f t="shared" si="23"/>
        <v>175497.94</v>
      </c>
    </row>
    <row r="32" spans="1:50" x14ac:dyDescent="0.2">
      <c r="A32" s="177" t="s">
        <v>21</v>
      </c>
      <c r="B32" s="178" t="s">
        <v>50</v>
      </c>
      <c r="C32" s="50">
        <f>Hivatal!AA28</f>
        <v>0</v>
      </c>
      <c r="D32" s="12"/>
      <c r="E32" s="12"/>
      <c r="F32" s="12"/>
      <c r="G32" s="12">
        <f>Hivatal!AD28</f>
        <v>0</v>
      </c>
      <c r="H32" s="12">
        <f t="shared" si="26"/>
        <v>0</v>
      </c>
      <c r="I32" s="12">
        <f>Hivatal!AF30</f>
        <v>0</v>
      </c>
      <c r="J32" s="12">
        <f t="shared" si="1"/>
        <v>0</v>
      </c>
      <c r="K32" s="12">
        <f>Hivatal!AH28</f>
        <v>0</v>
      </c>
      <c r="L32" s="12">
        <f t="shared" si="27"/>
        <v>0</v>
      </c>
      <c r="M32" s="12">
        <f>Hivatal!AJ28</f>
        <v>0</v>
      </c>
      <c r="N32" s="105">
        <f t="shared" si="28"/>
        <v>0</v>
      </c>
      <c r="O32" s="179">
        <f>Kostyán!AO28+Sportcs.!H28+Könyvtár!BH28+Gyöngysz.!AC28+Szivárvány!AM28+Pingvines!AK28</f>
        <v>0</v>
      </c>
      <c r="P32" s="174"/>
      <c r="Q32" s="174"/>
      <c r="R32" s="174">
        <f t="shared" si="24"/>
        <v>0</v>
      </c>
      <c r="S32" s="174">
        <f>Kostyán!AR30+Könyvtár!BK30+Gyöngysz.!AG30+Szivárvány!AP30+Pingvines!AN30</f>
        <v>0</v>
      </c>
      <c r="T32" s="174">
        <f t="shared" si="4"/>
        <v>0</v>
      </c>
      <c r="U32" s="174">
        <f>Könyvtár!BM30+Gyöngysz.!AI30+Szivárvány!AR30+Pingvines!AP30</f>
        <v>0</v>
      </c>
      <c r="V32" s="174">
        <f t="shared" si="5"/>
        <v>0</v>
      </c>
      <c r="W32" s="174">
        <f>Könyvtár!BO28+Kostyán!AT28+Gyöngysz.!AK28+Szivárvány!AT28+Pingvines!AR28</f>
        <v>0</v>
      </c>
      <c r="X32" s="174">
        <f t="shared" si="6"/>
        <v>0</v>
      </c>
      <c r="Y32" s="174">
        <f>Kostyán!AV28+Könyvtár!BQ28+Sportcs.!K28+Gyöngysz.!AM28+Szivárvány!AV28+Pingvines!AT28</f>
        <v>60</v>
      </c>
      <c r="Z32" s="175">
        <f t="shared" si="7"/>
        <v>60</v>
      </c>
      <c r="AA32" s="179">
        <f>'Város '!GN29</f>
        <v>3519000</v>
      </c>
      <c r="AB32" s="174">
        <f>'Város '!GO29</f>
        <v>0</v>
      </c>
      <c r="AC32" s="174"/>
      <c r="AD32" s="174">
        <v>3519</v>
      </c>
      <c r="AE32" s="174">
        <f>'Város '!GR29</f>
        <v>0</v>
      </c>
      <c r="AF32" s="174">
        <f t="shared" si="29"/>
        <v>3519</v>
      </c>
      <c r="AG32" s="174">
        <f>'Város '!GT29</f>
        <v>0</v>
      </c>
      <c r="AH32" s="174">
        <f t="shared" si="30"/>
        <v>3519</v>
      </c>
      <c r="AI32" s="174">
        <f>'Város '!GV29</f>
        <v>0</v>
      </c>
      <c r="AJ32" s="174">
        <f t="shared" si="31"/>
        <v>3519</v>
      </c>
      <c r="AK32" s="174">
        <f>'Város '!GX29</f>
        <v>2500</v>
      </c>
      <c r="AL32" s="175">
        <f t="shared" si="32"/>
        <v>6019</v>
      </c>
      <c r="AM32" s="184">
        <f t="shared" si="12"/>
        <v>3519000</v>
      </c>
      <c r="AN32" s="279">
        <f t="shared" si="13"/>
        <v>0</v>
      </c>
      <c r="AO32" s="279"/>
      <c r="AP32" s="279">
        <f t="shared" si="15"/>
        <v>3519</v>
      </c>
      <c r="AQ32" s="279">
        <f t="shared" si="16"/>
        <v>0</v>
      </c>
      <c r="AR32" s="279">
        <f t="shared" si="17"/>
        <v>3519</v>
      </c>
      <c r="AS32" s="279">
        <f t="shared" si="18"/>
        <v>0</v>
      </c>
      <c r="AT32" s="279">
        <f t="shared" si="19"/>
        <v>3519</v>
      </c>
      <c r="AU32" s="279">
        <f t="shared" si="20"/>
        <v>0</v>
      </c>
      <c r="AV32" s="279">
        <f t="shared" si="21"/>
        <v>3519</v>
      </c>
      <c r="AW32" s="393">
        <f t="shared" si="22"/>
        <v>2560</v>
      </c>
      <c r="AX32" s="394">
        <f t="shared" si="23"/>
        <v>6079</v>
      </c>
    </row>
    <row r="33" spans="1:59" s="7" customFormat="1" x14ac:dyDescent="0.2">
      <c r="A33" s="173" t="s">
        <v>22</v>
      </c>
      <c r="B33" s="182" t="s">
        <v>51</v>
      </c>
      <c r="C33" s="50">
        <f>Hivatal!AA29</f>
        <v>3772500</v>
      </c>
      <c r="D33" s="12">
        <v>4287</v>
      </c>
      <c r="E33" s="12"/>
      <c r="F33" s="12">
        <v>8060</v>
      </c>
      <c r="G33" s="12">
        <f>Hivatal!AD29</f>
        <v>160</v>
      </c>
      <c r="H33" s="12">
        <f t="shared" si="26"/>
        <v>8220</v>
      </c>
      <c r="I33" s="12">
        <f>Hivatal!AF31</f>
        <v>0</v>
      </c>
      <c r="J33" s="12">
        <f t="shared" si="1"/>
        <v>8220</v>
      </c>
      <c r="K33" s="12">
        <f>Hivatal!AH29</f>
        <v>0</v>
      </c>
      <c r="L33" s="12">
        <f t="shared" si="27"/>
        <v>8220</v>
      </c>
      <c r="M33" s="12">
        <f>Hivatal!AJ29</f>
        <v>312</v>
      </c>
      <c r="N33" s="105">
        <f t="shared" si="28"/>
        <v>8532</v>
      </c>
      <c r="O33" s="179">
        <f>Kostyán!AO29+Sportcs.!H29+Könyvtár!BH29+Gyöngysz.!AC29+Szivárvány!AM29+Pingvines!AK29</f>
        <v>231185409</v>
      </c>
      <c r="P33" s="174">
        <v>1879</v>
      </c>
      <c r="Q33" s="174"/>
      <c r="R33" s="174">
        <v>233064</v>
      </c>
      <c r="S33" s="174">
        <v>161</v>
      </c>
      <c r="T33" s="174">
        <f t="shared" si="4"/>
        <v>233225</v>
      </c>
      <c r="U33" s="174">
        <v>2818</v>
      </c>
      <c r="V33" s="174">
        <f t="shared" si="5"/>
        <v>236043</v>
      </c>
      <c r="W33" s="174">
        <f>Könyvtár!BO29+Kostyán!AT29+Gyöngysz.!AK29+Szivárvány!AT29+Pingvines!AR29</f>
        <v>1484</v>
      </c>
      <c r="X33" s="174">
        <f t="shared" si="6"/>
        <v>237527</v>
      </c>
      <c r="Y33" s="174">
        <f>Kostyán!AV29+Könyvtár!BQ29+Sportcs.!K29+Gyöngysz.!AM29+Szivárvány!AV29+Pingvines!AT29</f>
        <v>7261</v>
      </c>
      <c r="Z33" s="175">
        <f t="shared" si="7"/>
        <v>244788</v>
      </c>
      <c r="AA33" s="179">
        <f>'Város '!GN30</f>
        <v>1424104655</v>
      </c>
      <c r="AB33" s="174">
        <f>'Város '!GO30</f>
        <v>11154</v>
      </c>
      <c r="AC33" s="174"/>
      <c r="AD33" s="174">
        <v>1434759</v>
      </c>
      <c r="AE33" s="174">
        <f>'Város '!GR30</f>
        <v>55278</v>
      </c>
      <c r="AF33" s="174">
        <f t="shared" si="29"/>
        <v>1490037</v>
      </c>
      <c r="AG33" s="174">
        <f>'Város '!GT30</f>
        <v>13379</v>
      </c>
      <c r="AH33" s="174">
        <f t="shared" si="30"/>
        <v>1503416</v>
      </c>
      <c r="AI33" s="174">
        <f>'Város '!GV30</f>
        <v>15537</v>
      </c>
      <c r="AJ33" s="174">
        <f t="shared" si="31"/>
        <v>1518953</v>
      </c>
      <c r="AK33" s="174">
        <f>'Város '!GX30</f>
        <v>89224</v>
      </c>
      <c r="AL33" s="175">
        <f t="shared" si="32"/>
        <v>1608177</v>
      </c>
      <c r="AM33" s="184">
        <f t="shared" ref="AM33:AM41" si="33">C33+O33+AA33</f>
        <v>1659062564</v>
      </c>
      <c r="AN33" s="279">
        <f t="shared" si="13"/>
        <v>17320</v>
      </c>
      <c r="AO33" s="279"/>
      <c r="AP33" s="279">
        <f t="shared" si="15"/>
        <v>1675883</v>
      </c>
      <c r="AQ33" s="279">
        <f t="shared" si="16"/>
        <v>55599</v>
      </c>
      <c r="AR33" s="279">
        <f t="shared" si="17"/>
        <v>1731482</v>
      </c>
      <c r="AS33" s="279">
        <f t="shared" si="18"/>
        <v>16197</v>
      </c>
      <c r="AT33" s="279">
        <f t="shared" si="19"/>
        <v>1747679</v>
      </c>
      <c r="AU33" s="279">
        <f t="shared" si="20"/>
        <v>17021</v>
      </c>
      <c r="AV33" s="279">
        <f t="shared" si="21"/>
        <v>1764700</v>
      </c>
      <c r="AW33" s="393">
        <f t="shared" si="22"/>
        <v>96797</v>
      </c>
      <c r="AX33" s="394">
        <f t="shared" si="23"/>
        <v>1861497</v>
      </c>
    </row>
    <row r="34" spans="1:59" x14ac:dyDescent="0.2">
      <c r="A34" s="177" t="s">
        <v>23</v>
      </c>
      <c r="B34" s="178" t="s">
        <v>80</v>
      </c>
      <c r="C34" s="50">
        <f>Hivatal!AA30</f>
        <v>0</v>
      </c>
      <c r="D34" s="12"/>
      <c r="E34" s="12"/>
      <c r="F34" s="12"/>
      <c r="G34" s="12">
        <f>Hivatal!AD30</f>
        <v>0</v>
      </c>
      <c r="H34" s="12">
        <f t="shared" si="26"/>
        <v>0</v>
      </c>
      <c r="I34" s="12">
        <f>Hivatal!AF32</f>
        <v>0</v>
      </c>
      <c r="J34" s="12">
        <f t="shared" si="1"/>
        <v>0</v>
      </c>
      <c r="K34" s="12">
        <f>Hivatal!AH30</f>
        <v>0</v>
      </c>
      <c r="L34" s="12">
        <f t="shared" si="27"/>
        <v>0</v>
      </c>
      <c r="M34" s="12">
        <f>Hivatal!AJ30</f>
        <v>0</v>
      </c>
      <c r="N34" s="105">
        <f t="shared" si="28"/>
        <v>0</v>
      </c>
      <c r="O34" s="179">
        <f>Kostyán!AO30+Sportcs.!H30+Könyvtár!BH30+Gyöngysz.!AC30+Szivárvány!AM30+Pingvines!AK30</f>
        <v>0</v>
      </c>
      <c r="P34" s="174"/>
      <c r="Q34" s="174"/>
      <c r="R34" s="174">
        <f t="shared" si="24"/>
        <v>0</v>
      </c>
      <c r="S34" s="174">
        <f>Kostyán!AR32+Könyvtár!BK32+Gyöngysz.!AG32+Szivárvány!AP32+Pingvines!AN32</f>
        <v>0</v>
      </c>
      <c r="T34" s="174">
        <f t="shared" si="4"/>
        <v>0</v>
      </c>
      <c r="U34" s="174">
        <f>Könyvtár!BM32+Gyöngysz.!AI32+Szivárvány!AR32+Pingvines!AP32</f>
        <v>0</v>
      </c>
      <c r="V34" s="174">
        <f t="shared" si="5"/>
        <v>0</v>
      </c>
      <c r="W34" s="174">
        <f>Könyvtár!BO30+Kostyán!AT30+Gyöngysz.!AK30+Szivárvány!AT30+Pingvines!AR30</f>
        <v>0</v>
      </c>
      <c r="X34" s="174">
        <f t="shared" si="6"/>
        <v>0</v>
      </c>
      <c r="Y34" s="174">
        <f>Kostyán!AV30+Könyvtár!BQ30+Sportcs.!K30+Gyöngysz.!AM30+Szivárvány!AV30+Pingvines!AT30</f>
        <v>0</v>
      </c>
      <c r="Z34" s="175">
        <f t="shared" si="7"/>
        <v>0</v>
      </c>
      <c r="AA34" s="179">
        <v>0</v>
      </c>
      <c r="AB34" s="174">
        <f>'Város '!GO31</f>
        <v>18240</v>
      </c>
      <c r="AC34" s="174"/>
      <c r="AD34" s="174">
        <v>18240</v>
      </c>
      <c r="AE34" s="174">
        <f>'Város '!GR31</f>
        <v>37159</v>
      </c>
      <c r="AF34" s="174">
        <f t="shared" si="29"/>
        <v>55399</v>
      </c>
      <c r="AG34" s="174">
        <f>'Város '!GT31</f>
        <v>57088</v>
      </c>
      <c r="AH34" s="174">
        <f t="shared" si="30"/>
        <v>112487</v>
      </c>
      <c r="AI34" s="174">
        <f>'Város '!GV31</f>
        <v>0</v>
      </c>
      <c r="AJ34" s="174">
        <f t="shared" si="31"/>
        <v>112487</v>
      </c>
      <c r="AK34" s="174">
        <f>'Város '!GX31</f>
        <v>40000</v>
      </c>
      <c r="AL34" s="175">
        <f t="shared" si="32"/>
        <v>152487</v>
      </c>
      <c r="AM34" s="184">
        <f t="shared" si="33"/>
        <v>0</v>
      </c>
      <c r="AN34" s="279">
        <f t="shared" si="13"/>
        <v>18240</v>
      </c>
      <c r="AO34" s="279"/>
      <c r="AP34" s="279">
        <f t="shared" si="15"/>
        <v>18240</v>
      </c>
      <c r="AQ34" s="279">
        <f t="shared" si="16"/>
        <v>37159</v>
      </c>
      <c r="AR34" s="279">
        <f t="shared" si="17"/>
        <v>55399</v>
      </c>
      <c r="AS34" s="279">
        <f t="shared" si="18"/>
        <v>57088</v>
      </c>
      <c r="AT34" s="279">
        <f t="shared" si="19"/>
        <v>112487</v>
      </c>
      <c r="AU34" s="279">
        <f t="shared" si="20"/>
        <v>0</v>
      </c>
      <c r="AV34" s="279">
        <f t="shared" si="21"/>
        <v>112487</v>
      </c>
      <c r="AW34" s="393">
        <f t="shared" si="22"/>
        <v>40000</v>
      </c>
      <c r="AX34" s="394">
        <f t="shared" si="23"/>
        <v>152487</v>
      </c>
    </row>
    <row r="35" spans="1:59" x14ac:dyDescent="0.2">
      <c r="A35" s="177" t="s">
        <v>24</v>
      </c>
      <c r="B35" s="178" t="s">
        <v>52</v>
      </c>
      <c r="C35" s="50">
        <f>Hivatal!AA31</f>
        <v>0</v>
      </c>
      <c r="D35" s="12">
        <v>44</v>
      </c>
      <c r="E35" s="12"/>
      <c r="F35" s="12">
        <v>44</v>
      </c>
      <c r="G35" s="12">
        <f>Hivatal!AD31</f>
        <v>0</v>
      </c>
      <c r="H35" s="12">
        <f t="shared" si="26"/>
        <v>44</v>
      </c>
      <c r="I35" s="12">
        <f>Hivatal!AF33</f>
        <v>0</v>
      </c>
      <c r="J35" s="12">
        <f t="shared" si="1"/>
        <v>44</v>
      </c>
      <c r="K35" s="12">
        <f>Hivatal!AH31</f>
        <v>0</v>
      </c>
      <c r="L35" s="12">
        <f t="shared" si="27"/>
        <v>44</v>
      </c>
      <c r="M35" s="12">
        <f>Hivatal!AJ31</f>
        <v>0</v>
      </c>
      <c r="N35" s="105">
        <f t="shared" si="28"/>
        <v>44</v>
      </c>
      <c r="O35" s="179">
        <f>Kostyán!AO31+Sportcs.!H31+Könyvtár!BH31+Gyöngysz.!AC31+Szivárvány!AM31+Pingvines!AK31</f>
        <v>0</v>
      </c>
      <c r="P35" s="174"/>
      <c r="Q35" s="174"/>
      <c r="R35" s="174">
        <f t="shared" si="24"/>
        <v>0</v>
      </c>
      <c r="S35" s="174">
        <f>Kostyán!AR33+Könyvtár!BK33+Gyöngysz.!AG33+Szivárvány!AP33+Pingvines!AN33</f>
        <v>0</v>
      </c>
      <c r="T35" s="174">
        <f t="shared" si="4"/>
        <v>0</v>
      </c>
      <c r="U35" s="174">
        <f>Könyvtár!BM33+Gyöngysz.!AI33+Szivárvány!AR33+Pingvines!AP33</f>
        <v>0</v>
      </c>
      <c r="V35" s="174">
        <f t="shared" si="5"/>
        <v>0</v>
      </c>
      <c r="W35" s="174">
        <f>Könyvtár!BO31+Kostyán!AT31+Gyöngysz.!AK31+Szivárvány!AT31+Pingvines!AR31</f>
        <v>0</v>
      </c>
      <c r="X35" s="174">
        <f t="shared" si="6"/>
        <v>0</v>
      </c>
      <c r="Y35" s="174">
        <f>Kostyán!AV31+Könyvtár!BQ31+Sportcs.!K31+Gyöngysz.!AM31+Szivárvány!AV31+Pingvines!AT31</f>
        <v>0</v>
      </c>
      <c r="Z35" s="175">
        <f t="shared" si="7"/>
        <v>0</v>
      </c>
      <c r="AA35" s="179">
        <v>0</v>
      </c>
      <c r="AB35" s="174">
        <f>'Város '!GO32</f>
        <v>3932</v>
      </c>
      <c r="AC35" s="174"/>
      <c r="AD35" s="174">
        <v>3932</v>
      </c>
      <c r="AE35" s="174">
        <f>'Város '!GR32</f>
        <v>2111</v>
      </c>
      <c r="AF35" s="174">
        <f t="shared" si="29"/>
        <v>6043</v>
      </c>
      <c r="AG35" s="174">
        <f>'Város '!GT32</f>
        <v>2324</v>
      </c>
      <c r="AH35" s="174">
        <f t="shared" si="30"/>
        <v>8367</v>
      </c>
      <c r="AI35" s="174">
        <f>'Város '!GV32</f>
        <v>144</v>
      </c>
      <c r="AJ35" s="174">
        <f t="shared" si="31"/>
        <v>8511</v>
      </c>
      <c r="AK35" s="174">
        <f>'Város '!GX32</f>
        <v>568</v>
      </c>
      <c r="AL35" s="175">
        <f t="shared" si="32"/>
        <v>9079</v>
      </c>
      <c r="AM35" s="184">
        <f t="shared" si="33"/>
        <v>0</v>
      </c>
      <c r="AN35" s="279">
        <f t="shared" si="13"/>
        <v>3976</v>
      </c>
      <c r="AO35" s="279"/>
      <c r="AP35" s="279">
        <f t="shared" si="15"/>
        <v>3976</v>
      </c>
      <c r="AQ35" s="279">
        <f t="shared" si="16"/>
        <v>2111</v>
      </c>
      <c r="AR35" s="279">
        <f t="shared" si="17"/>
        <v>6087</v>
      </c>
      <c r="AS35" s="279">
        <f t="shared" si="18"/>
        <v>2324</v>
      </c>
      <c r="AT35" s="279">
        <f t="shared" si="19"/>
        <v>8411</v>
      </c>
      <c r="AU35" s="279">
        <f t="shared" si="20"/>
        <v>144</v>
      </c>
      <c r="AV35" s="279">
        <f t="shared" si="21"/>
        <v>8555</v>
      </c>
      <c r="AW35" s="393">
        <f t="shared" si="22"/>
        <v>568</v>
      </c>
      <c r="AX35" s="394">
        <f t="shared" si="23"/>
        <v>9123</v>
      </c>
    </row>
    <row r="36" spans="1:59" x14ac:dyDescent="0.2">
      <c r="A36" s="177" t="s">
        <v>25</v>
      </c>
      <c r="B36" s="178" t="s">
        <v>53</v>
      </c>
      <c r="C36" s="50">
        <f>Hivatal!AA32</f>
        <v>0</v>
      </c>
      <c r="D36" s="12"/>
      <c r="E36" s="12"/>
      <c r="F36" s="12"/>
      <c r="G36" s="12">
        <f>Hivatal!AD32</f>
        <v>0</v>
      </c>
      <c r="H36" s="12">
        <f t="shared" si="26"/>
        <v>0</v>
      </c>
      <c r="I36" s="12">
        <v>0</v>
      </c>
      <c r="J36" s="12">
        <f t="shared" si="1"/>
        <v>0</v>
      </c>
      <c r="K36" s="12">
        <f>Hivatal!AH32</f>
        <v>0</v>
      </c>
      <c r="L36" s="12">
        <f t="shared" si="27"/>
        <v>0</v>
      </c>
      <c r="M36" s="12">
        <f>Hivatal!AJ32</f>
        <v>0</v>
      </c>
      <c r="N36" s="105">
        <f t="shared" si="28"/>
        <v>0</v>
      </c>
      <c r="O36" s="179">
        <f>Kostyán!AO32+Sportcs.!H32+Könyvtár!BH32+Gyöngysz.!AC32+Szivárvány!AM32+Pingvines!AK32</f>
        <v>0</v>
      </c>
      <c r="P36" s="174"/>
      <c r="Q36" s="174"/>
      <c r="R36" s="174">
        <f t="shared" si="24"/>
        <v>0</v>
      </c>
      <c r="S36" s="174"/>
      <c r="T36" s="174">
        <f t="shared" si="4"/>
        <v>0</v>
      </c>
      <c r="U36" s="174">
        <v>0</v>
      </c>
      <c r="V36" s="174">
        <f t="shared" si="5"/>
        <v>0</v>
      </c>
      <c r="W36" s="174">
        <f>Könyvtár!BO32+Kostyán!AT32+Gyöngysz.!AK32+Szivárvány!AT32+Pingvines!AR32</f>
        <v>0</v>
      </c>
      <c r="X36" s="174">
        <f t="shared" si="6"/>
        <v>0</v>
      </c>
      <c r="Y36" s="174">
        <f>Kostyán!AV32+Könyvtár!BQ32+Sportcs.!K32+Gyöngysz.!AM32+Szivárvány!AV32+Pingvines!AT32</f>
        <v>0</v>
      </c>
      <c r="Z36" s="175">
        <f t="shared" si="7"/>
        <v>0</v>
      </c>
      <c r="AA36" s="179">
        <f>'Város '!GN33</f>
        <v>2500000</v>
      </c>
      <c r="AB36" s="174">
        <f>'Város '!GO33</f>
        <v>1800</v>
      </c>
      <c r="AC36" s="174"/>
      <c r="AD36" s="174">
        <v>2500</v>
      </c>
      <c r="AE36" s="174">
        <f>'Város '!GR33</f>
        <v>0</v>
      </c>
      <c r="AF36" s="174">
        <f t="shared" si="29"/>
        <v>2500</v>
      </c>
      <c r="AG36" s="174">
        <f>'Város '!GT33</f>
        <v>0</v>
      </c>
      <c r="AH36" s="174">
        <f t="shared" si="30"/>
        <v>2500</v>
      </c>
      <c r="AI36" s="174">
        <f>'Város '!GV33</f>
        <v>0</v>
      </c>
      <c r="AJ36" s="174">
        <f t="shared" si="31"/>
        <v>2500</v>
      </c>
      <c r="AK36" s="174">
        <f>'Város '!GX33</f>
        <v>464</v>
      </c>
      <c r="AL36" s="175">
        <f t="shared" si="32"/>
        <v>2964</v>
      </c>
      <c r="AM36" s="184">
        <f t="shared" si="33"/>
        <v>2500000</v>
      </c>
      <c r="AN36" s="279">
        <f t="shared" si="13"/>
        <v>1800</v>
      </c>
      <c r="AO36" s="279"/>
      <c r="AP36" s="279">
        <f t="shared" si="15"/>
        <v>2500</v>
      </c>
      <c r="AQ36" s="279">
        <f t="shared" si="16"/>
        <v>0</v>
      </c>
      <c r="AR36" s="279">
        <f t="shared" si="17"/>
        <v>2500</v>
      </c>
      <c r="AS36" s="279">
        <f t="shared" si="18"/>
        <v>0</v>
      </c>
      <c r="AT36" s="279">
        <f t="shared" si="19"/>
        <v>2500</v>
      </c>
      <c r="AU36" s="279">
        <f t="shared" si="20"/>
        <v>0</v>
      </c>
      <c r="AV36" s="279">
        <f t="shared" si="21"/>
        <v>2500</v>
      </c>
      <c r="AW36" s="393">
        <f t="shared" si="22"/>
        <v>464</v>
      </c>
      <c r="AX36" s="394">
        <f t="shared" si="23"/>
        <v>2964</v>
      </c>
    </row>
    <row r="37" spans="1:59" s="7" customFormat="1" x14ac:dyDescent="0.2">
      <c r="A37" s="173" t="s">
        <v>26</v>
      </c>
      <c r="B37" s="182" t="s">
        <v>54</v>
      </c>
      <c r="C37" s="50">
        <f>Hivatal!AA33</f>
        <v>0</v>
      </c>
      <c r="D37" s="12">
        <v>44</v>
      </c>
      <c r="E37" s="12"/>
      <c r="F37" s="12">
        <v>44</v>
      </c>
      <c r="G37" s="12">
        <f>Hivatal!AD33</f>
        <v>0</v>
      </c>
      <c r="H37" s="12">
        <f t="shared" si="26"/>
        <v>44</v>
      </c>
      <c r="I37" s="12">
        <v>0</v>
      </c>
      <c r="J37" s="12">
        <f t="shared" si="1"/>
        <v>44</v>
      </c>
      <c r="K37" s="12">
        <f>Hivatal!AH33</f>
        <v>0</v>
      </c>
      <c r="L37" s="12">
        <f t="shared" si="27"/>
        <v>44</v>
      </c>
      <c r="M37" s="12">
        <f>Hivatal!AJ33</f>
        <v>0</v>
      </c>
      <c r="N37" s="105">
        <f t="shared" si="28"/>
        <v>44</v>
      </c>
      <c r="O37" s="179">
        <f>Kostyán!AO33+Sportcs.!H33+Könyvtár!BH33+Gyöngysz.!AC33+Szivárvány!AM33+Pingvines!AK33</f>
        <v>0</v>
      </c>
      <c r="P37" s="174"/>
      <c r="Q37" s="174"/>
      <c r="R37" s="174">
        <f t="shared" si="24"/>
        <v>0</v>
      </c>
      <c r="S37" s="174"/>
      <c r="T37" s="174">
        <f t="shared" si="4"/>
        <v>0</v>
      </c>
      <c r="U37" s="174">
        <v>0</v>
      </c>
      <c r="V37" s="174">
        <f t="shared" si="5"/>
        <v>0</v>
      </c>
      <c r="W37" s="174">
        <f>Könyvtár!BO33+Kostyán!AT33+Gyöngysz.!AK33+Szivárvány!AT33+Pingvines!AR33</f>
        <v>0</v>
      </c>
      <c r="X37" s="174">
        <f t="shared" si="6"/>
        <v>0</v>
      </c>
      <c r="Y37" s="174">
        <f>Kostyán!AV33+Könyvtár!BQ33+Sportcs.!K33+Gyöngysz.!AM33+Szivárvány!AV33+Pingvines!AT33</f>
        <v>0</v>
      </c>
      <c r="Z37" s="175">
        <f t="shared" si="7"/>
        <v>0</v>
      </c>
      <c r="AA37" s="179">
        <f>'Város '!GN34</f>
        <v>2500000</v>
      </c>
      <c r="AB37" s="174">
        <f>'Város '!GO34</f>
        <v>23972</v>
      </c>
      <c r="AC37" s="174"/>
      <c r="AD37" s="174">
        <v>24672</v>
      </c>
      <c r="AE37" s="174">
        <f>'Város '!GR34</f>
        <v>39270</v>
      </c>
      <c r="AF37" s="174">
        <f t="shared" si="29"/>
        <v>63942</v>
      </c>
      <c r="AG37" s="174">
        <f>'Város '!GT34</f>
        <v>59412</v>
      </c>
      <c r="AH37" s="174">
        <f t="shared" si="30"/>
        <v>123354</v>
      </c>
      <c r="AI37" s="174">
        <f>'Város '!GV34</f>
        <v>144</v>
      </c>
      <c r="AJ37" s="174">
        <f t="shared" si="31"/>
        <v>123498</v>
      </c>
      <c r="AK37" s="174">
        <f>'Város '!GX34</f>
        <v>41032</v>
      </c>
      <c r="AL37" s="175">
        <f t="shared" si="32"/>
        <v>164530</v>
      </c>
      <c r="AM37" s="184">
        <f t="shared" si="33"/>
        <v>2500000</v>
      </c>
      <c r="AN37" s="279">
        <f t="shared" si="13"/>
        <v>24016</v>
      </c>
      <c r="AO37" s="279"/>
      <c r="AP37" s="279">
        <f t="shared" si="15"/>
        <v>24716</v>
      </c>
      <c r="AQ37" s="279">
        <f t="shared" si="16"/>
        <v>39270</v>
      </c>
      <c r="AR37" s="279">
        <f t="shared" si="17"/>
        <v>63986</v>
      </c>
      <c r="AS37" s="279">
        <f t="shared" si="18"/>
        <v>59412</v>
      </c>
      <c r="AT37" s="279">
        <f t="shared" si="19"/>
        <v>123398</v>
      </c>
      <c r="AU37" s="279">
        <f t="shared" si="20"/>
        <v>144</v>
      </c>
      <c r="AV37" s="279">
        <f t="shared" si="21"/>
        <v>123542</v>
      </c>
      <c r="AW37" s="393">
        <f t="shared" si="22"/>
        <v>41032</v>
      </c>
      <c r="AX37" s="394">
        <f t="shared" si="23"/>
        <v>164574</v>
      </c>
    </row>
    <row r="38" spans="1:59" s="7" customFormat="1" x14ac:dyDescent="0.2">
      <c r="A38" s="173" t="s">
        <v>27</v>
      </c>
      <c r="B38" s="182" t="s">
        <v>74</v>
      </c>
      <c r="C38" s="50">
        <v>240030000</v>
      </c>
      <c r="D38" s="12">
        <v>3544</v>
      </c>
      <c r="E38" s="12"/>
      <c r="F38" s="12">
        <v>243574</v>
      </c>
      <c r="G38" s="12">
        <f>Hivatal!AD34</f>
        <v>150</v>
      </c>
      <c r="H38" s="12">
        <f t="shared" si="26"/>
        <v>243724</v>
      </c>
      <c r="I38" s="12">
        <v>74</v>
      </c>
      <c r="J38" s="12">
        <f t="shared" si="1"/>
        <v>243798</v>
      </c>
      <c r="K38" s="12">
        <f>Hivatal!AH34</f>
        <v>148</v>
      </c>
      <c r="L38" s="12">
        <f t="shared" si="27"/>
        <v>243946</v>
      </c>
      <c r="M38" s="12">
        <f>Hivatal!AJ34</f>
        <v>147</v>
      </c>
      <c r="N38" s="105">
        <f t="shared" si="28"/>
        <v>244093</v>
      </c>
      <c r="O38" s="179">
        <v>599985000</v>
      </c>
      <c r="P38" s="190">
        <v>5458</v>
      </c>
      <c r="Q38" s="190">
        <v>1572</v>
      </c>
      <c r="R38" s="174">
        <v>607015</v>
      </c>
      <c r="S38" s="174">
        <v>123</v>
      </c>
      <c r="T38" s="174">
        <f t="shared" si="4"/>
        <v>607138</v>
      </c>
      <c r="U38" s="174">
        <v>3946</v>
      </c>
      <c r="V38" s="174">
        <f t="shared" si="5"/>
        <v>611084</v>
      </c>
      <c r="W38" s="174">
        <f>Könyvtár!BO34+Kostyán!AT34+Gyöngysz.!AK34+Szivárvány!AT34+Pingvines!AR34</f>
        <v>188</v>
      </c>
      <c r="X38" s="174">
        <f t="shared" si="6"/>
        <v>611272</v>
      </c>
      <c r="Y38" s="174">
        <f>Kostyán!AV34+Könyvtár!BQ34+Sportcs.!K34+Gyöngysz.!AM34+Szivárvány!AV34+Pingvines!AT34</f>
        <v>1611</v>
      </c>
      <c r="Z38" s="175">
        <f t="shared" si="7"/>
        <v>612883</v>
      </c>
      <c r="AA38" s="179">
        <f>'Város '!GN35</f>
        <v>771752068</v>
      </c>
      <c r="AB38" s="174">
        <f>'Város '!GO35</f>
        <v>35998</v>
      </c>
      <c r="AC38" s="174"/>
      <c r="AD38" s="174">
        <v>807750</v>
      </c>
      <c r="AE38" s="174">
        <f>'Város '!GR35</f>
        <v>-33712</v>
      </c>
      <c r="AF38" s="174">
        <f t="shared" si="29"/>
        <v>774038</v>
      </c>
      <c r="AG38" s="174">
        <f>'Város '!GT35</f>
        <v>198</v>
      </c>
      <c r="AH38" s="174">
        <f t="shared" si="30"/>
        <v>774236</v>
      </c>
      <c r="AI38" s="174">
        <f>'Város '!GV35</f>
        <v>400</v>
      </c>
      <c r="AJ38" s="174">
        <f t="shared" si="31"/>
        <v>774636</v>
      </c>
      <c r="AK38" s="174">
        <f>'Város '!GX35</f>
        <v>32456</v>
      </c>
      <c r="AL38" s="175">
        <f t="shared" si="32"/>
        <v>807092</v>
      </c>
      <c r="AM38" s="184">
        <f t="shared" si="33"/>
        <v>1611767068</v>
      </c>
      <c r="AN38" s="279">
        <f t="shared" si="13"/>
        <v>45000</v>
      </c>
      <c r="AO38" s="279">
        <v>1572</v>
      </c>
      <c r="AP38" s="279">
        <f t="shared" si="15"/>
        <v>1658339</v>
      </c>
      <c r="AQ38" s="279">
        <f t="shared" si="16"/>
        <v>-33439</v>
      </c>
      <c r="AR38" s="279">
        <f t="shared" si="17"/>
        <v>1624900</v>
      </c>
      <c r="AS38" s="279">
        <f t="shared" si="18"/>
        <v>4218</v>
      </c>
      <c r="AT38" s="279">
        <f t="shared" si="19"/>
        <v>1629118</v>
      </c>
      <c r="AU38" s="279">
        <f t="shared" si="20"/>
        <v>736</v>
      </c>
      <c r="AV38" s="279">
        <f t="shared" si="21"/>
        <v>1629854</v>
      </c>
      <c r="AW38" s="393">
        <f t="shared" si="22"/>
        <v>34214</v>
      </c>
      <c r="AX38" s="394">
        <f t="shared" si="23"/>
        <v>1664068</v>
      </c>
    </row>
    <row r="39" spans="1:59" s="7" customFormat="1" x14ac:dyDescent="0.2">
      <c r="A39" s="177" t="s">
        <v>28</v>
      </c>
      <c r="B39" s="181" t="s">
        <v>75</v>
      </c>
      <c r="C39" s="50">
        <v>239030000</v>
      </c>
      <c r="D39" s="12">
        <v>1800</v>
      </c>
      <c r="E39" s="12"/>
      <c r="F39" s="12">
        <v>240830</v>
      </c>
      <c r="G39" s="12">
        <f>Hivatal!AD35</f>
        <v>150</v>
      </c>
      <c r="H39" s="12">
        <f t="shared" si="26"/>
        <v>240980</v>
      </c>
      <c r="I39" s="12">
        <v>74</v>
      </c>
      <c r="J39" s="12">
        <f t="shared" si="1"/>
        <v>241054</v>
      </c>
      <c r="K39" s="12">
        <f>Hivatal!AH35</f>
        <v>148</v>
      </c>
      <c r="L39" s="12">
        <f t="shared" si="27"/>
        <v>241202</v>
      </c>
      <c r="M39" s="12">
        <f>Hivatal!AJ35</f>
        <v>147</v>
      </c>
      <c r="N39" s="105">
        <f t="shared" si="28"/>
        <v>241349</v>
      </c>
      <c r="O39" s="179">
        <v>589985000</v>
      </c>
      <c r="P39" s="190">
        <v>1583</v>
      </c>
      <c r="Q39" s="190">
        <v>1572</v>
      </c>
      <c r="R39" s="174">
        <v>593140</v>
      </c>
      <c r="S39" s="174">
        <v>123</v>
      </c>
      <c r="T39" s="174">
        <f t="shared" si="4"/>
        <v>593263</v>
      </c>
      <c r="U39" s="174">
        <v>3946</v>
      </c>
      <c r="V39" s="174">
        <f t="shared" si="5"/>
        <v>597209</v>
      </c>
      <c r="W39" s="174">
        <f>Könyvtár!BO35+Kostyán!AT35+Gyöngysz.!AK35+Szivárvány!AT35+Pingvines!AR35</f>
        <v>188</v>
      </c>
      <c r="X39" s="174">
        <f t="shared" si="6"/>
        <v>597397</v>
      </c>
      <c r="Y39" s="174">
        <f>Kostyán!AV35+Könyvtár!BQ35+Sportcs.!K35+Gyöngysz.!AM35+Szivárvány!AV35+Pingvines!AT35</f>
        <v>1611</v>
      </c>
      <c r="Z39" s="175">
        <f t="shared" si="7"/>
        <v>599008</v>
      </c>
      <c r="AA39" s="179">
        <f>'Város '!GN36</f>
        <v>0</v>
      </c>
      <c r="AB39" s="174">
        <f>'Város '!GO36</f>
        <v>0</v>
      </c>
      <c r="AC39" s="174"/>
      <c r="AD39" s="174"/>
      <c r="AE39" s="174">
        <f>'Város '!GR36</f>
        <v>0</v>
      </c>
      <c r="AF39" s="174">
        <f t="shared" si="29"/>
        <v>0</v>
      </c>
      <c r="AG39" s="174">
        <f>'Város '!GT36</f>
        <v>0</v>
      </c>
      <c r="AH39" s="174">
        <f t="shared" si="30"/>
        <v>0</v>
      </c>
      <c r="AI39" s="174">
        <f>'Város '!GV36</f>
        <v>0</v>
      </c>
      <c r="AJ39" s="174">
        <f t="shared" si="31"/>
        <v>0</v>
      </c>
      <c r="AK39" s="174">
        <f>'Város '!GX36</f>
        <v>0</v>
      </c>
      <c r="AL39" s="175">
        <f t="shared" si="32"/>
        <v>0</v>
      </c>
      <c r="AM39" s="184">
        <f>C39+O39+AA39</f>
        <v>829015000</v>
      </c>
      <c r="AN39" s="279">
        <f t="shared" si="13"/>
        <v>3383</v>
      </c>
      <c r="AO39" s="279">
        <v>1572</v>
      </c>
      <c r="AP39" s="279">
        <f t="shared" si="15"/>
        <v>833970</v>
      </c>
      <c r="AQ39" s="279">
        <f t="shared" si="16"/>
        <v>273</v>
      </c>
      <c r="AR39" s="279">
        <f t="shared" si="17"/>
        <v>834243</v>
      </c>
      <c r="AS39" s="279">
        <f t="shared" si="18"/>
        <v>4020</v>
      </c>
      <c r="AT39" s="279">
        <f t="shared" si="19"/>
        <v>838263</v>
      </c>
      <c r="AU39" s="279">
        <f t="shared" si="20"/>
        <v>336</v>
      </c>
      <c r="AV39" s="279">
        <f t="shared" si="21"/>
        <v>838599</v>
      </c>
      <c r="AW39" s="393">
        <f t="shared" si="22"/>
        <v>1758</v>
      </c>
      <c r="AX39" s="394">
        <f t="shared" si="23"/>
        <v>840357</v>
      </c>
    </row>
    <row r="40" spans="1:59" s="7" customFormat="1" x14ac:dyDescent="0.2">
      <c r="A40" s="177" t="s">
        <v>29</v>
      </c>
      <c r="B40" s="181" t="s">
        <v>81</v>
      </c>
      <c r="C40" s="50">
        <v>1000000</v>
      </c>
      <c r="D40" s="12">
        <v>1744</v>
      </c>
      <c r="E40" s="12"/>
      <c r="F40" s="12">
        <v>2744</v>
      </c>
      <c r="G40" s="12">
        <f>Hivatal!AD36</f>
        <v>0</v>
      </c>
      <c r="H40" s="12">
        <f t="shared" si="26"/>
        <v>2744</v>
      </c>
      <c r="I40" s="12">
        <v>0</v>
      </c>
      <c r="J40" s="12">
        <f t="shared" si="1"/>
        <v>2744</v>
      </c>
      <c r="K40" s="12">
        <f>Hivatal!AH36</f>
        <v>0</v>
      </c>
      <c r="L40" s="12">
        <f t="shared" si="27"/>
        <v>2744</v>
      </c>
      <c r="M40" s="12">
        <f>Hivatal!AJ36</f>
        <v>0</v>
      </c>
      <c r="N40" s="105">
        <f t="shared" si="28"/>
        <v>2744</v>
      </c>
      <c r="O40" s="179">
        <f>Kostyán!AO36+Sportcs.!H36+Könyvtár!BH36+Gyöngysz.!AC36+Szivárvány!AM36+Pingvines!AK36</f>
        <v>10000000</v>
      </c>
      <c r="P40" s="190">
        <v>3875</v>
      </c>
      <c r="Q40" s="190"/>
      <c r="R40" s="174">
        <v>13875</v>
      </c>
      <c r="S40" s="174"/>
      <c r="T40" s="174">
        <f t="shared" si="4"/>
        <v>13875</v>
      </c>
      <c r="U40" s="174">
        <v>0</v>
      </c>
      <c r="V40" s="174">
        <f t="shared" si="5"/>
        <v>13875</v>
      </c>
      <c r="W40" s="174">
        <f>Könyvtár!BO36+Kostyán!AT36+Gyöngysz.!AK36+Szivárvány!AT36+Pingvines!AR36</f>
        <v>0</v>
      </c>
      <c r="X40" s="174">
        <f t="shared" si="6"/>
        <v>13875</v>
      </c>
      <c r="Y40" s="174">
        <f>Kostyán!AV36+Könyvtár!BQ36+Sportcs.!K36+Gyöngysz.!AM36+Szivárvány!AV36+Pingvines!AT36</f>
        <v>0</v>
      </c>
      <c r="Z40" s="175">
        <f t="shared" si="7"/>
        <v>13875</v>
      </c>
      <c r="AA40" s="179">
        <f>'Város '!GN37</f>
        <v>637628068</v>
      </c>
      <c r="AB40" s="174">
        <f>'Város '!GO37</f>
        <v>35119</v>
      </c>
      <c r="AC40" s="174"/>
      <c r="AD40" s="174">
        <v>672747</v>
      </c>
      <c r="AE40" s="174">
        <f>'Város '!GR37</f>
        <v>0</v>
      </c>
      <c r="AF40" s="174">
        <f t="shared" si="29"/>
        <v>672747</v>
      </c>
      <c r="AG40" s="174">
        <f>'Város '!GT37</f>
        <v>0</v>
      </c>
      <c r="AH40" s="174">
        <f t="shared" si="30"/>
        <v>672747</v>
      </c>
      <c r="AI40" s="174">
        <f>'Város '!GV37</f>
        <v>0</v>
      </c>
      <c r="AJ40" s="174">
        <f t="shared" si="31"/>
        <v>672747</v>
      </c>
      <c r="AK40" s="174">
        <f>'Város '!GX37</f>
        <v>0</v>
      </c>
      <c r="AL40" s="175">
        <f t="shared" si="32"/>
        <v>672747</v>
      </c>
      <c r="AM40" s="184">
        <f>C40+O40+AA40</f>
        <v>648628068</v>
      </c>
      <c r="AN40" s="279">
        <f t="shared" si="13"/>
        <v>40738</v>
      </c>
      <c r="AO40" s="279"/>
      <c r="AP40" s="279">
        <f t="shared" si="15"/>
        <v>689366</v>
      </c>
      <c r="AQ40" s="279">
        <f t="shared" si="16"/>
        <v>0</v>
      </c>
      <c r="AR40" s="279">
        <f t="shared" si="17"/>
        <v>689366</v>
      </c>
      <c r="AS40" s="279">
        <f t="shared" si="18"/>
        <v>0</v>
      </c>
      <c r="AT40" s="279">
        <f t="shared" si="19"/>
        <v>689366</v>
      </c>
      <c r="AU40" s="279">
        <f t="shared" si="20"/>
        <v>0</v>
      </c>
      <c r="AV40" s="279">
        <f t="shared" si="21"/>
        <v>689366</v>
      </c>
      <c r="AW40" s="393">
        <f t="shared" si="22"/>
        <v>0</v>
      </c>
      <c r="AX40" s="394">
        <f t="shared" si="23"/>
        <v>689366</v>
      </c>
    </row>
    <row r="41" spans="1:59" s="7" customFormat="1" x14ac:dyDescent="0.2">
      <c r="A41" s="177" t="s">
        <v>30</v>
      </c>
      <c r="B41" s="191" t="s">
        <v>113</v>
      </c>
      <c r="C41" s="50">
        <f>Hivatal!AA37</f>
        <v>0</v>
      </c>
      <c r="D41" s="316"/>
      <c r="E41" s="316"/>
      <c r="F41" s="12"/>
      <c r="G41" s="12">
        <f>Hivatal!AD37</f>
        <v>0</v>
      </c>
      <c r="H41" s="12">
        <f t="shared" si="26"/>
        <v>0</v>
      </c>
      <c r="I41" s="12">
        <f>Hivatal!AF39</f>
        <v>0</v>
      </c>
      <c r="J41" s="12">
        <f t="shared" si="1"/>
        <v>0</v>
      </c>
      <c r="K41" s="12">
        <f>Hivatal!AH37</f>
        <v>0</v>
      </c>
      <c r="L41" s="12">
        <f t="shared" si="27"/>
        <v>0</v>
      </c>
      <c r="M41" s="12">
        <f>Hivatal!AJ37</f>
        <v>0</v>
      </c>
      <c r="N41" s="105">
        <f t="shared" si="28"/>
        <v>0</v>
      </c>
      <c r="O41" s="179">
        <f>Kostyán!AO37+Sportcs.!H37+Könyvtár!BH37+Gyöngysz.!AC37+Szivárvány!AM37+Pingvines!AK37</f>
        <v>0</v>
      </c>
      <c r="P41" s="189"/>
      <c r="Q41" s="189"/>
      <c r="R41" s="174">
        <f t="shared" si="24"/>
        <v>0</v>
      </c>
      <c r="S41" s="174">
        <f>Kostyán!AR39+Könyvtár!BK39+Gyöngysz.!AG39+Szivárvány!AP39+Pingvines!AN39</f>
        <v>0</v>
      </c>
      <c r="T41" s="174">
        <f t="shared" si="4"/>
        <v>0</v>
      </c>
      <c r="U41" s="174">
        <f>Könyvtár!BM39+Gyöngysz.!AI39+Szivárvány!AR39+Pingvines!AP39</f>
        <v>0</v>
      </c>
      <c r="V41" s="174">
        <f t="shared" si="5"/>
        <v>0</v>
      </c>
      <c r="W41" s="174">
        <f>Könyvtár!BO37+Kostyán!AT37+Gyöngysz.!AK37+Szivárvány!AT37+Pingvines!AR37</f>
        <v>0</v>
      </c>
      <c r="X41" s="174">
        <f t="shared" si="6"/>
        <v>0</v>
      </c>
      <c r="Y41" s="174">
        <f>Kostyán!AV37+Könyvtár!BQ37+Sportcs.!K37+Gyöngysz.!AM37+Szivárvány!AV37+Pingvines!AT37</f>
        <v>0</v>
      </c>
      <c r="Z41" s="175">
        <f t="shared" si="7"/>
        <v>0</v>
      </c>
      <c r="AA41" s="179">
        <f>'Város '!GN39</f>
        <v>134124000</v>
      </c>
      <c r="AB41" s="174">
        <v>879</v>
      </c>
      <c r="AC41" s="174"/>
      <c r="AD41" s="174">
        <v>135003</v>
      </c>
      <c r="AE41" s="174">
        <v>-33712</v>
      </c>
      <c r="AF41" s="174">
        <f t="shared" si="29"/>
        <v>101291</v>
      </c>
      <c r="AG41" s="174">
        <v>198</v>
      </c>
      <c r="AH41" s="174">
        <f t="shared" si="30"/>
        <v>101489</v>
      </c>
      <c r="AI41" s="174">
        <v>400</v>
      </c>
      <c r="AJ41" s="174">
        <f t="shared" si="31"/>
        <v>101889</v>
      </c>
      <c r="AK41" s="174">
        <v>32456</v>
      </c>
      <c r="AL41" s="175">
        <f t="shared" si="32"/>
        <v>134345</v>
      </c>
      <c r="AM41" s="184">
        <f t="shared" si="33"/>
        <v>134124000</v>
      </c>
      <c r="AN41" s="279">
        <f t="shared" si="13"/>
        <v>879</v>
      </c>
      <c r="AO41" s="279"/>
      <c r="AP41" s="279">
        <f t="shared" si="15"/>
        <v>135003</v>
      </c>
      <c r="AQ41" s="279">
        <f t="shared" si="16"/>
        <v>-33712</v>
      </c>
      <c r="AR41" s="279">
        <f t="shared" si="17"/>
        <v>101291</v>
      </c>
      <c r="AS41" s="279">
        <f t="shared" si="18"/>
        <v>198</v>
      </c>
      <c r="AT41" s="279">
        <f t="shared" si="19"/>
        <v>101489</v>
      </c>
      <c r="AU41" s="279">
        <f t="shared" si="20"/>
        <v>400</v>
      </c>
      <c r="AV41" s="279">
        <f t="shared" si="21"/>
        <v>101889</v>
      </c>
      <c r="AW41" s="393">
        <v>32456</v>
      </c>
      <c r="AX41" s="394">
        <f t="shared" si="23"/>
        <v>134345</v>
      </c>
    </row>
    <row r="42" spans="1:59" s="7" customFormat="1" x14ac:dyDescent="0.2">
      <c r="A42" s="173" t="s">
        <v>31</v>
      </c>
      <c r="B42" s="182" t="s">
        <v>56</v>
      </c>
      <c r="C42" s="317">
        <v>243803000</v>
      </c>
      <c r="D42" s="318">
        <v>7875</v>
      </c>
      <c r="E42" s="318"/>
      <c r="F42" s="318">
        <v>251678</v>
      </c>
      <c r="G42" s="318">
        <f>Hivatal!AD38</f>
        <v>310</v>
      </c>
      <c r="H42" s="318">
        <f t="shared" si="26"/>
        <v>251988</v>
      </c>
      <c r="I42" s="314">
        <v>74</v>
      </c>
      <c r="J42" s="314">
        <f t="shared" si="1"/>
        <v>252062</v>
      </c>
      <c r="K42" s="314">
        <f>Hivatal!AH38</f>
        <v>148</v>
      </c>
      <c r="L42" s="314">
        <f t="shared" si="27"/>
        <v>252210</v>
      </c>
      <c r="M42" s="314">
        <f>SUM(M33+M38)</f>
        <v>459</v>
      </c>
      <c r="N42" s="356">
        <f t="shared" si="28"/>
        <v>252669</v>
      </c>
      <c r="O42" s="193">
        <v>831170000</v>
      </c>
      <c r="P42" s="192">
        <v>7337</v>
      </c>
      <c r="Q42" s="192">
        <v>1572</v>
      </c>
      <c r="R42" s="192">
        <v>840079</v>
      </c>
      <c r="S42" s="192">
        <v>284</v>
      </c>
      <c r="T42" s="192">
        <f t="shared" si="4"/>
        <v>840363</v>
      </c>
      <c r="U42" s="185">
        <v>6764</v>
      </c>
      <c r="V42" s="185">
        <f t="shared" si="5"/>
        <v>847127</v>
      </c>
      <c r="W42" s="185">
        <f>Könyvtár!BO38+Kostyán!AT38+Gyöngysz.!AK38+Szivárvány!AT38+Pingvines!AR38</f>
        <v>1672</v>
      </c>
      <c r="X42" s="185">
        <f t="shared" si="6"/>
        <v>848799</v>
      </c>
      <c r="Y42" s="185">
        <f>Y33+Y38</f>
        <v>8872</v>
      </c>
      <c r="Z42" s="186">
        <f t="shared" si="7"/>
        <v>857671</v>
      </c>
      <c r="AA42" s="193">
        <f>'Város '!GN40</f>
        <v>2198356723</v>
      </c>
      <c r="AB42" s="192">
        <f>AB33+AB37+AB38</f>
        <v>71124</v>
      </c>
      <c r="AC42" s="192"/>
      <c r="AD42" s="192">
        <v>2267181</v>
      </c>
      <c r="AE42" s="192">
        <f>AE33+AE37+AE41</f>
        <v>60836</v>
      </c>
      <c r="AF42" s="192">
        <f t="shared" si="29"/>
        <v>2328017</v>
      </c>
      <c r="AG42" s="192">
        <f>AG33+AG37+AG38</f>
        <v>72989</v>
      </c>
      <c r="AH42" s="185">
        <f t="shared" si="30"/>
        <v>2401006</v>
      </c>
      <c r="AI42" s="185">
        <f>AI33+AI37+AI38</f>
        <v>16081</v>
      </c>
      <c r="AJ42" s="185">
        <f t="shared" si="31"/>
        <v>2417087</v>
      </c>
      <c r="AK42" s="185">
        <f>AK33+AK37+AK38</f>
        <v>162712</v>
      </c>
      <c r="AL42" s="186">
        <f t="shared" si="32"/>
        <v>2579799</v>
      </c>
      <c r="AM42" s="193">
        <v>3273330000</v>
      </c>
      <c r="AN42" s="192">
        <f t="shared" si="13"/>
        <v>86336</v>
      </c>
      <c r="AO42" s="192">
        <v>1572</v>
      </c>
      <c r="AP42" s="192">
        <f t="shared" si="15"/>
        <v>3358938</v>
      </c>
      <c r="AQ42" s="192">
        <f t="shared" si="16"/>
        <v>61430</v>
      </c>
      <c r="AR42" s="192">
        <f t="shared" si="17"/>
        <v>3420368</v>
      </c>
      <c r="AS42" s="185">
        <f t="shared" si="18"/>
        <v>79827</v>
      </c>
      <c r="AT42" s="185">
        <f t="shared" si="19"/>
        <v>3500195</v>
      </c>
      <c r="AU42" s="185">
        <f t="shared" si="20"/>
        <v>17901</v>
      </c>
      <c r="AV42" s="185">
        <f t="shared" si="21"/>
        <v>3518096</v>
      </c>
      <c r="AW42" s="185">
        <f t="shared" si="22"/>
        <v>172043</v>
      </c>
      <c r="AX42" s="188">
        <f t="shared" si="23"/>
        <v>3690139</v>
      </c>
    </row>
    <row r="43" spans="1:59" s="7" customFormat="1" x14ac:dyDescent="0.2">
      <c r="A43" s="194"/>
      <c r="B43" s="195" t="s">
        <v>126</v>
      </c>
      <c r="C43" s="50">
        <v>239030000</v>
      </c>
      <c r="D43" s="12">
        <v>1800</v>
      </c>
      <c r="E43" s="12"/>
      <c r="F43" s="12">
        <v>240830</v>
      </c>
      <c r="G43" s="12">
        <v>150</v>
      </c>
      <c r="H43" s="12">
        <f t="shared" si="26"/>
        <v>240980</v>
      </c>
      <c r="I43" s="12">
        <v>74</v>
      </c>
      <c r="J43" s="12">
        <f t="shared" si="1"/>
        <v>241054</v>
      </c>
      <c r="K43" s="12">
        <v>148</v>
      </c>
      <c r="L43" s="12">
        <f>SUM(J43:K43)</f>
        <v>241202</v>
      </c>
      <c r="M43" s="12">
        <v>147</v>
      </c>
      <c r="N43" s="105">
        <f t="shared" si="28"/>
        <v>241349</v>
      </c>
      <c r="O43" s="358">
        <v>589985</v>
      </c>
      <c r="P43" s="174">
        <v>1583</v>
      </c>
      <c r="Q43" s="174">
        <v>1572</v>
      </c>
      <c r="R43" s="174">
        <v>593140</v>
      </c>
      <c r="S43" s="174">
        <v>123</v>
      </c>
      <c r="T43" s="174">
        <f t="shared" si="4"/>
        <v>593263</v>
      </c>
      <c r="U43" s="174">
        <v>3946</v>
      </c>
      <c r="V43" s="174">
        <f t="shared" si="5"/>
        <v>597209</v>
      </c>
      <c r="W43" s="174">
        <v>188</v>
      </c>
      <c r="X43" s="174">
        <f t="shared" si="6"/>
        <v>597397</v>
      </c>
      <c r="Y43" s="174">
        <v>1611</v>
      </c>
      <c r="Z43" s="175">
        <f t="shared" si="7"/>
        <v>599008</v>
      </c>
      <c r="AA43" s="179"/>
      <c r="AB43" s="174"/>
      <c r="AC43" s="174"/>
      <c r="AD43" s="174"/>
      <c r="AE43" s="174"/>
      <c r="AF43" s="174">
        <f t="shared" si="29"/>
        <v>0</v>
      </c>
      <c r="AG43" s="174"/>
      <c r="AH43" s="174">
        <f t="shared" si="30"/>
        <v>0</v>
      </c>
      <c r="AI43" s="174"/>
      <c r="AJ43" s="174">
        <f t="shared" si="31"/>
        <v>0</v>
      </c>
      <c r="AK43" s="174"/>
      <c r="AL43" s="175">
        <f t="shared" si="32"/>
        <v>0</v>
      </c>
      <c r="AM43" s="281">
        <v>829015</v>
      </c>
      <c r="AN43" s="279">
        <f t="shared" si="13"/>
        <v>3383</v>
      </c>
      <c r="AO43" s="279">
        <v>1572</v>
      </c>
      <c r="AP43" s="279">
        <f t="shared" si="15"/>
        <v>833970</v>
      </c>
      <c r="AQ43" s="279">
        <f t="shared" si="16"/>
        <v>273</v>
      </c>
      <c r="AR43" s="279">
        <f t="shared" si="17"/>
        <v>834243</v>
      </c>
      <c r="AS43" s="279">
        <f t="shared" si="18"/>
        <v>4020</v>
      </c>
      <c r="AT43" s="279">
        <f t="shared" si="19"/>
        <v>838263</v>
      </c>
      <c r="AU43" s="279">
        <f t="shared" si="20"/>
        <v>336</v>
      </c>
      <c r="AV43" s="279">
        <f t="shared" si="21"/>
        <v>838599</v>
      </c>
      <c r="AW43" s="393">
        <f>M43+Y43+AK43</f>
        <v>1758</v>
      </c>
      <c r="AX43" s="394">
        <f t="shared" si="23"/>
        <v>840357</v>
      </c>
    </row>
    <row r="44" spans="1:59" s="7" customFormat="1" x14ac:dyDescent="0.2">
      <c r="A44" s="194"/>
      <c r="B44" s="196" t="s">
        <v>128</v>
      </c>
      <c r="C44" s="317">
        <f>C42-C43</f>
        <v>4773000</v>
      </c>
      <c r="D44" s="318">
        <f t="shared" ref="D44:AA44" si="34">D42-D43</f>
        <v>6075</v>
      </c>
      <c r="E44" s="318"/>
      <c r="F44" s="318">
        <f t="shared" si="34"/>
        <v>10848</v>
      </c>
      <c r="G44" s="318">
        <v>160</v>
      </c>
      <c r="H44" s="318">
        <f t="shared" si="26"/>
        <v>11008</v>
      </c>
      <c r="I44" s="314">
        <v>0</v>
      </c>
      <c r="J44" s="314">
        <f t="shared" si="1"/>
        <v>11008</v>
      </c>
      <c r="K44" s="314">
        <v>0</v>
      </c>
      <c r="L44" s="314">
        <f>SUM(J44:K44)</f>
        <v>11008</v>
      </c>
      <c r="M44" s="314">
        <f>M42-M43</f>
        <v>312</v>
      </c>
      <c r="N44" s="356">
        <f t="shared" si="28"/>
        <v>11320</v>
      </c>
      <c r="O44" s="193">
        <v>241185000</v>
      </c>
      <c r="P44" s="192">
        <f t="shared" si="34"/>
        <v>5754</v>
      </c>
      <c r="Q44" s="192">
        <v>0</v>
      </c>
      <c r="R44" s="192">
        <v>246939</v>
      </c>
      <c r="S44" s="192">
        <v>161</v>
      </c>
      <c r="T44" s="192">
        <f t="shared" si="4"/>
        <v>247100</v>
      </c>
      <c r="U44" s="185">
        <v>2818</v>
      </c>
      <c r="V44" s="185">
        <f t="shared" si="5"/>
        <v>249918</v>
      </c>
      <c r="W44" s="185">
        <f>W42-W43</f>
        <v>1484</v>
      </c>
      <c r="X44" s="185">
        <f t="shared" ref="X44" si="35">SUM(V44:W44)</f>
        <v>251402</v>
      </c>
      <c r="Y44" s="185">
        <f>Y42-Y43</f>
        <v>7261</v>
      </c>
      <c r="Z44" s="186">
        <f t="shared" si="7"/>
        <v>258663</v>
      </c>
      <c r="AA44" s="193">
        <f t="shared" si="34"/>
        <v>2198356723</v>
      </c>
      <c r="AB44" s="192">
        <v>68824</v>
      </c>
      <c r="AC44" s="192"/>
      <c r="AD44" s="192">
        <v>2267181</v>
      </c>
      <c r="AE44" s="192">
        <f>AE42</f>
        <v>60836</v>
      </c>
      <c r="AF44" s="192">
        <f t="shared" si="29"/>
        <v>2328017</v>
      </c>
      <c r="AG44" s="192">
        <v>72989</v>
      </c>
      <c r="AH44" s="185">
        <f t="shared" si="30"/>
        <v>2401006</v>
      </c>
      <c r="AI44" s="185">
        <f>SUM(AI42)</f>
        <v>16081</v>
      </c>
      <c r="AJ44" s="185">
        <f t="shared" si="31"/>
        <v>2417087</v>
      </c>
      <c r="AK44" s="185">
        <f>SUM(AK42)</f>
        <v>162712</v>
      </c>
      <c r="AL44" s="186">
        <f t="shared" si="32"/>
        <v>2579799</v>
      </c>
      <c r="AM44" s="197">
        <v>2444315</v>
      </c>
      <c r="AN44" s="192">
        <f t="shared" si="13"/>
        <v>80653</v>
      </c>
      <c r="AO44" s="192">
        <v>0</v>
      </c>
      <c r="AP44" s="192">
        <f t="shared" si="15"/>
        <v>2524968</v>
      </c>
      <c r="AQ44" s="192">
        <f t="shared" si="16"/>
        <v>61157</v>
      </c>
      <c r="AR44" s="192">
        <f t="shared" si="17"/>
        <v>2586125</v>
      </c>
      <c r="AS44" s="185">
        <f t="shared" si="18"/>
        <v>75807</v>
      </c>
      <c r="AT44" s="185">
        <f t="shared" si="19"/>
        <v>2661932</v>
      </c>
      <c r="AU44" s="185">
        <f t="shared" si="20"/>
        <v>17565</v>
      </c>
      <c r="AV44" s="185">
        <f t="shared" si="21"/>
        <v>2679497</v>
      </c>
      <c r="AW44" s="185">
        <f t="shared" si="22"/>
        <v>170285</v>
      </c>
      <c r="AX44" s="188">
        <f t="shared" si="23"/>
        <v>2849782</v>
      </c>
    </row>
    <row r="45" spans="1:59" ht="13.5" thickBot="1" x14ac:dyDescent="0.25">
      <c r="A45" s="198" t="s">
        <v>32</v>
      </c>
      <c r="B45" s="199" t="s">
        <v>33</v>
      </c>
      <c r="C45" s="247">
        <f>Hivatal!AA39</f>
        <v>40</v>
      </c>
      <c r="D45" s="19"/>
      <c r="E45" s="19"/>
      <c r="F45" s="14">
        <v>40</v>
      </c>
      <c r="G45" s="14"/>
      <c r="H45" s="14">
        <v>40</v>
      </c>
      <c r="I45" s="14">
        <f>Hivatal!AF43</f>
        <v>0</v>
      </c>
      <c r="J45" s="14">
        <f t="shared" si="1"/>
        <v>40</v>
      </c>
      <c r="K45" s="14"/>
      <c r="L45" s="14">
        <v>40</v>
      </c>
      <c r="M45" s="14"/>
      <c r="N45" s="105">
        <f t="shared" si="28"/>
        <v>40</v>
      </c>
      <c r="O45" s="202">
        <f>Kostyán!AO39+Sportcs.!H39+Könyvtár!BH39+Gyöngysz.!AC39+Szivárvány!AM39+Pingvines!AK39</f>
        <v>129</v>
      </c>
      <c r="P45" s="200">
        <v>1</v>
      </c>
      <c r="Q45" s="200">
        <v>1</v>
      </c>
      <c r="R45" s="201" t="s">
        <v>143</v>
      </c>
      <c r="S45" s="200">
        <f>Kostyán!AR43+Könyvtár!BK43+Gyöngysz.!AG43+Szivárvány!AP43+Pingvines!AN43</f>
        <v>0</v>
      </c>
      <c r="T45" s="200">
        <v>131</v>
      </c>
      <c r="U45" s="200">
        <f>Könyvtár!BM43+Gyöngysz.!AI43+Szivárvány!AR43+Pingvines!AP43</f>
        <v>0</v>
      </c>
      <c r="V45" s="200">
        <f t="shared" si="5"/>
        <v>131</v>
      </c>
      <c r="W45" s="200">
        <f>Könyvtár!BO41+Kostyán!AT41+Gyöngysz.!AK41+Szivárvány!AT41+Pingvines!AR41</f>
        <v>0</v>
      </c>
      <c r="X45" s="200">
        <f t="shared" si="6"/>
        <v>131</v>
      </c>
      <c r="Y45" s="174">
        <v>-2</v>
      </c>
      <c r="Z45" s="175">
        <f t="shared" si="7"/>
        <v>129</v>
      </c>
      <c r="AA45" s="202">
        <f>'Város '!GN41</f>
        <v>2</v>
      </c>
      <c r="AB45" s="203"/>
      <c r="AC45" s="203"/>
      <c r="AD45" s="200">
        <v>2</v>
      </c>
      <c r="AE45" s="200"/>
      <c r="AF45" s="200">
        <f t="shared" si="29"/>
        <v>2</v>
      </c>
      <c r="AG45" s="200"/>
      <c r="AH45" s="200">
        <v>2</v>
      </c>
      <c r="AI45" s="200"/>
      <c r="AJ45" s="200"/>
      <c r="AK45" s="174">
        <f>'Város '!GX42</f>
        <v>0</v>
      </c>
      <c r="AL45" s="175">
        <f t="shared" si="32"/>
        <v>0</v>
      </c>
      <c r="AM45" s="282">
        <f>C45+O45+AA45</f>
        <v>171</v>
      </c>
      <c r="AN45" s="283">
        <f t="shared" si="13"/>
        <v>1</v>
      </c>
      <c r="AO45" s="283">
        <v>1</v>
      </c>
      <c r="AP45" s="283">
        <f>F45+R45+AD45</f>
        <v>173</v>
      </c>
      <c r="AQ45" s="283">
        <f t="shared" si="16"/>
        <v>0</v>
      </c>
      <c r="AR45" s="283">
        <f t="shared" si="17"/>
        <v>173</v>
      </c>
      <c r="AS45" s="283">
        <f t="shared" si="18"/>
        <v>0</v>
      </c>
      <c r="AT45" s="283">
        <f t="shared" si="19"/>
        <v>173</v>
      </c>
      <c r="AU45" s="283">
        <f t="shared" si="20"/>
        <v>0</v>
      </c>
      <c r="AV45" s="283">
        <f t="shared" si="21"/>
        <v>173</v>
      </c>
      <c r="AW45" s="393">
        <f t="shared" si="22"/>
        <v>-2</v>
      </c>
      <c r="AX45" s="394">
        <f t="shared" si="23"/>
        <v>171</v>
      </c>
    </row>
    <row r="46" spans="1:59" x14ac:dyDescent="0.2">
      <c r="B46" s="2"/>
      <c r="C46" s="4"/>
      <c r="D46" s="4"/>
      <c r="E46" s="4"/>
      <c r="F46" s="8"/>
      <c r="G46" s="8"/>
      <c r="H46" s="8"/>
      <c r="I46" s="8"/>
      <c r="J46" s="8"/>
      <c r="K46" s="8"/>
      <c r="L46" s="8"/>
      <c r="M46" s="8"/>
      <c r="N46" s="8"/>
      <c r="O46" s="4"/>
      <c r="P46" s="4"/>
      <c r="Q46" s="4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"/>
      <c r="AN46" s="4"/>
      <c r="AO46" s="4"/>
      <c r="AP46" s="8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</row>
    <row r="47" spans="1:59" x14ac:dyDescent="0.2">
      <c r="B47" s="2"/>
      <c r="C47" s="4"/>
      <c r="D47" s="4"/>
      <c r="E47" s="4"/>
      <c r="F47" s="8"/>
      <c r="G47" s="8"/>
      <c r="H47" s="8"/>
      <c r="I47" s="8"/>
      <c r="J47" s="8"/>
      <c r="K47" s="8"/>
      <c r="L47" s="8"/>
      <c r="M47" s="8"/>
      <c r="N47" s="8"/>
      <c r="O47" s="4"/>
      <c r="P47" s="4"/>
      <c r="Q47" s="4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"/>
      <c r="AN47" s="4"/>
      <c r="AO47" s="4"/>
      <c r="AP47" s="8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</row>
    <row r="48" spans="1:59" x14ac:dyDescent="0.2"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</row>
    <row r="49" spans="2:59" x14ac:dyDescent="0.2"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</row>
    <row r="50" spans="2:59" x14ac:dyDescent="0.2">
      <c r="B50" s="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</row>
    <row r="51" spans="2:59" x14ac:dyDescent="0.2">
      <c r="B51" s="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</row>
    <row r="52" spans="2:59" x14ac:dyDescent="0.2">
      <c r="B52" s="2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2:59" x14ac:dyDescent="0.2">
      <c r="B53" s="2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</row>
    <row r="54" spans="2:59" x14ac:dyDescent="0.2">
      <c r="B54" s="2"/>
    </row>
    <row r="55" spans="2:59" x14ac:dyDescent="0.2">
      <c r="B55" s="2"/>
    </row>
  </sheetData>
  <mergeCells count="62">
    <mergeCell ref="AM5:AX6"/>
    <mergeCell ref="AW7:AW8"/>
    <mergeCell ref="AX7:AX8"/>
    <mergeCell ref="N7:N8"/>
    <mergeCell ref="AV7:AV8"/>
    <mergeCell ref="AU7:AU8"/>
    <mergeCell ref="AS7:AS8"/>
    <mergeCell ref="AT7:AT8"/>
    <mergeCell ref="AJ7:AJ8"/>
    <mergeCell ref="O6:Z6"/>
    <mergeCell ref="Y7:Y8"/>
    <mergeCell ref="Z7:Z8"/>
    <mergeCell ref="AE7:AE8"/>
    <mergeCell ref="AG7:AG8"/>
    <mergeCell ref="O7:O8"/>
    <mergeCell ref="S7:S8"/>
    <mergeCell ref="A1:C1"/>
    <mergeCell ref="A2:D2"/>
    <mergeCell ref="A3:AP3"/>
    <mergeCell ref="AM7:AM8"/>
    <mergeCell ref="AD7:AD8"/>
    <mergeCell ref="AA5:AD5"/>
    <mergeCell ref="AA7:AA8"/>
    <mergeCell ref="O5:R5"/>
    <mergeCell ref="P7:P8"/>
    <mergeCell ref="I7:I8"/>
    <mergeCell ref="J7:J8"/>
    <mergeCell ref="Q7:Q8"/>
    <mergeCell ref="AI7:AI8"/>
    <mergeCell ref="K7:K8"/>
    <mergeCell ref="L7:L8"/>
    <mergeCell ref="G7:G8"/>
    <mergeCell ref="A27:B27"/>
    <mergeCell ref="A10:B10"/>
    <mergeCell ref="A9:B9"/>
    <mergeCell ref="C7:C8"/>
    <mergeCell ref="D7:D8"/>
    <mergeCell ref="A5:B8"/>
    <mergeCell ref="C5:F5"/>
    <mergeCell ref="E7:E8"/>
    <mergeCell ref="F7:F8"/>
    <mergeCell ref="H7:H8"/>
    <mergeCell ref="C6:N6"/>
    <mergeCell ref="M7:M8"/>
    <mergeCell ref="AR7:AR8"/>
    <mergeCell ref="AP7:AP8"/>
    <mergeCell ref="W7:W8"/>
    <mergeCell ref="U7:U8"/>
    <mergeCell ref="V7:V8"/>
    <mergeCell ref="AO7:AO8"/>
    <mergeCell ref="AC7:AC8"/>
    <mergeCell ref="AB7:AB8"/>
    <mergeCell ref="AH7:AH8"/>
    <mergeCell ref="AQ7:AQ8"/>
    <mergeCell ref="X7:X8"/>
    <mergeCell ref="AN7:AN8"/>
    <mergeCell ref="AF7:AF8"/>
    <mergeCell ref="T7:T8"/>
    <mergeCell ref="R7:R8"/>
    <mergeCell ref="AA6:AL6"/>
    <mergeCell ref="AK7:AK8"/>
    <mergeCell ref="AL7:AL8"/>
  </mergeCells>
  <phoneticPr fontId="2" type="noConversion"/>
  <printOptions horizontalCentered="1" verticalCentered="1"/>
  <pageMargins left="0.19685039370078741" right="0.23622047244094491" top="0.27559055118110237" bottom="0.27559055118110237" header="0.19685039370078741" footer="0.15748031496062992"/>
  <pageSetup paperSize="8" scale="70" firstPageNumber="0" orientation="landscape" r:id="rId1"/>
  <headerFooter alignWithMargins="0">
    <oddHeader>&amp;R3.sz.melléklet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7" zoomScaleNormal="17" workbookViewId="0">
      <selection activeCell="CE107" sqref="BF107:CE114"/>
    </sheetView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25" sqref="F25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54"/>
  <sheetViews>
    <sheetView zoomScale="73" zoomScaleNormal="73" zoomScaleSheetLayoutView="100" workbookViewId="0">
      <selection activeCell="C3" sqref="C3:AK3"/>
    </sheetView>
  </sheetViews>
  <sheetFormatPr defaultColWidth="9.140625" defaultRowHeight="12.75" x14ac:dyDescent="0.2"/>
  <cols>
    <col min="1" max="1" width="3.140625" style="1" bestFit="1" customWidth="1"/>
    <col min="2" max="2" width="42.7109375" style="1" customWidth="1"/>
    <col min="3" max="3" width="10.28515625" style="1" customWidth="1"/>
    <col min="4" max="4" width="8.5703125" style="1" customWidth="1"/>
    <col min="5" max="13" width="9.5703125" style="1" customWidth="1"/>
    <col min="14" max="14" width="10.28515625" style="1" customWidth="1"/>
    <col min="15" max="15" width="8.85546875" style="1" customWidth="1"/>
    <col min="16" max="18" width="9.5703125" style="1" customWidth="1"/>
    <col min="19" max="19" width="9.7109375" style="1" customWidth="1"/>
    <col min="20" max="20" width="8.28515625" style="1" customWidth="1"/>
    <col min="21" max="23" width="9.140625" style="1" customWidth="1"/>
    <col min="24" max="24" width="9.42578125" style="1" customWidth="1"/>
    <col min="25" max="25" width="8.28515625" style="1" customWidth="1"/>
    <col min="26" max="26" width="9.7109375" style="1" customWidth="1"/>
    <col min="27" max="27" width="12.140625" style="1" customWidth="1"/>
    <col min="28" max="28" width="9.140625" style="1"/>
    <col min="29" max="29" width="9.28515625" style="1" customWidth="1"/>
    <col min="30" max="33" width="9.140625" style="1"/>
    <col min="34" max="34" width="10.28515625" style="1" customWidth="1"/>
    <col min="35" max="35" width="10.140625" style="1" bestFit="1" customWidth="1"/>
    <col min="36" max="36" width="9.140625" style="1"/>
    <col min="37" max="37" width="10.85546875" style="1" customWidth="1"/>
    <col min="38" max="16384" width="9.140625" style="1"/>
  </cols>
  <sheetData>
    <row r="1" spans="1:37" x14ac:dyDescent="0.2">
      <c r="B1" s="606"/>
      <c r="C1" s="60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37" ht="13.5" thickBot="1" x14ac:dyDescent="0.25">
      <c r="A2" s="473" t="s">
        <v>0</v>
      </c>
      <c r="B2" s="473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</row>
    <row r="3" spans="1:37" ht="13.5" thickBot="1" x14ac:dyDescent="0.25">
      <c r="A3" s="478" t="s">
        <v>1</v>
      </c>
      <c r="B3" s="479"/>
      <c r="C3" s="483">
        <v>390703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484"/>
      <c r="AG3" s="484"/>
      <c r="AH3" s="484"/>
      <c r="AI3" s="484"/>
      <c r="AJ3" s="484"/>
      <c r="AK3" s="485"/>
    </row>
    <row r="4" spans="1:37" s="3" customFormat="1" ht="66" customHeight="1" x14ac:dyDescent="0.2">
      <c r="A4" s="450"/>
      <c r="B4" s="477"/>
      <c r="C4" s="462" t="s">
        <v>68</v>
      </c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86" t="s">
        <v>69</v>
      </c>
      <c r="O4" s="487"/>
      <c r="P4" s="487"/>
      <c r="Q4" s="487"/>
      <c r="R4" s="488"/>
      <c r="S4" s="475" t="s">
        <v>136</v>
      </c>
      <c r="T4" s="456"/>
      <c r="U4" s="456"/>
      <c r="V4" s="456"/>
      <c r="W4" s="458"/>
      <c r="X4" s="480" t="s">
        <v>70</v>
      </c>
      <c r="Y4" s="481"/>
      <c r="Z4" s="482"/>
      <c r="AA4" s="452" t="s">
        <v>64</v>
      </c>
      <c r="AB4" s="453"/>
      <c r="AC4" s="453"/>
      <c r="AD4" s="453"/>
      <c r="AE4" s="453"/>
      <c r="AF4" s="453"/>
      <c r="AG4" s="453"/>
      <c r="AH4" s="453"/>
      <c r="AI4" s="453"/>
      <c r="AJ4" s="453"/>
      <c r="AK4" s="454"/>
    </row>
    <row r="5" spans="1:37" ht="12.75" customHeight="1" x14ac:dyDescent="0.2">
      <c r="A5" s="450"/>
      <c r="B5" s="477"/>
      <c r="C5" s="450" t="s">
        <v>36</v>
      </c>
      <c r="D5" s="451" t="s">
        <v>131</v>
      </c>
      <c r="E5" s="451" t="s">
        <v>130</v>
      </c>
      <c r="F5" s="451" t="s">
        <v>144</v>
      </c>
      <c r="G5" s="451" t="s">
        <v>145</v>
      </c>
      <c r="H5" s="451" t="s">
        <v>167</v>
      </c>
      <c r="I5" s="451" t="s">
        <v>168</v>
      </c>
      <c r="J5" s="451" t="s">
        <v>174</v>
      </c>
      <c r="K5" s="451" t="s">
        <v>175</v>
      </c>
      <c r="L5" s="464" t="s">
        <v>176</v>
      </c>
      <c r="M5" s="466" t="s">
        <v>177</v>
      </c>
      <c r="N5" s="450" t="s">
        <v>36</v>
      </c>
      <c r="O5" s="451" t="s">
        <v>131</v>
      </c>
      <c r="P5" s="451" t="s">
        <v>175</v>
      </c>
      <c r="Q5" s="464" t="s">
        <v>176</v>
      </c>
      <c r="R5" s="460" t="s">
        <v>177</v>
      </c>
      <c r="S5" s="472" t="s">
        <v>36</v>
      </c>
      <c r="T5" s="451" t="s">
        <v>131</v>
      </c>
      <c r="U5" s="451" t="s">
        <v>130</v>
      </c>
      <c r="V5" s="451" t="s">
        <v>144</v>
      </c>
      <c r="W5" s="476" t="s">
        <v>177</v>
      </c>
      <c r="X5" s="450" t="s">
        <v>36</v>
      </c>
      <c r="Y5" s="451" t="s">
        <v>89</v>
      </c>
      <c r="Z5" s="477" t="s">
        <v>35</v>
      </c>
      <c r="AA5" s="450" t="s">
        <v>36</v>
      </c>
      <c r="AB5" s="451" t="s">
        <v>131</v>
      </c>
      <c r="AC5" s="451" t="s">
        <v>130</v>
      </c>
      <c r="AD5" s="459" t="s">
        <v>144</v>
      </c>
      <c r="AE5" s="459" t="s">
        <v>145</v>
      </c>
      <c r="AF5" s="459" t="s">
        <v>167</v>
      </c>
      <c r="AG5" s="459" t="s">
        <v>167</v>
      </c>
      <c r="AH5" s="459" t="s">
        <v>174</v>
      </c>
      <c r="AI5" s="459" t="s">
        <v>175</v>
      </c>
      <c r="AJ5" s="455" t="s">
        <v>176</v>
      </c>
      <c r="AK5" s="457" t="s">
        <v>177</v>
      </c>
    </row>
    <row r="6" spans="1:37" x14ac:dyDescent="0.2">
      <c r="A6" s="450"/>
      <c r="B6" s="477"/>
      <c r="C6" s="450"/>
      <c r="D6" s="451"/>
      <c r="E6" s="451"/>
      <c r="F6" s="451"/>
      <c r="G6" s="451"/>
      <c r="H6" s="451"/>
      <c r="I6" s="451"/>
      <c r="J6" s="451"/>
      <c r="K6" s="451"/>
      <c r="L6" s="465"/>
      <c r="M6" s="467"/>
      <c r="N6" s="450"/>
      <c r="O6" s="451"/>
      <c r="P6" s="451"/>
      <c r="Q6" s="465"/>
      <c r="R6" s="461"/>
      <c r="S6" s="472"/>
      <c r="T6" s="451"/>
      <c r="U6" s="451"/>
      <c r="V6" s="451"/>
      <c r="W6" s="476"/>
      <c r="X6" s="450"/>
      <c r="Y6" s="451"/>
      <c r="Z6" s="477"/>
      <c r="AA6" s="450"/>
      <c r="AB6" s="451"/>
      <c r="AC6" s="451"/>
      <c r="AD6" s="459"/>
      <c r="AE6" s="459"/>
      <c r="AF6" s="459"/>
      <c r="AG6" s="459"/>
      <c r="AH6" s="459"/>
      <c r="AI6" s="459"/>
      <c r="AJ6" s="456"/>
      <c r="AK6" s="458"/>
    </row>
    <row r="7" spans="1:37" x14ac:dyDescent="0.2">
      <c r="A7" s="470">
        <v>1</v>
      </c>
      <c r="B7" s="471"/>
      <c r="C7" s="286">
        <v>2</v>
      </c>
      <c r="D7" s="126">
        <v>3</v>
      </c>
      <c r="E7" s="126">
        <v>4</v>
      </c>
      <c r="F7" s="126"/>
      <c r="G7" s="126"/>
      <c r="H7" s="126"/>
      <c r="I7" s="126"/>
      <c r="J7" s="126"/>
      <c r="K7" s="126"/>
      <c r="L7" s="126"/>
      <c r="M7" s="287"/>
      <c r="N7" s="286">
        <v>5</v>
      </c>
      <c r="O7" s="126">
        <v>6</v>
      </c>
      <c r="P7" s="126">
        <v>7</v>
      </c>
      <c r="Q7" s="126"/>
      <c r="R7" s="22"/>
      <c r="S7" s="291">
        <v>8</v>
      </c>
      <c r="T7" s="285">
        <v>9</v>
      </c>
      <c r="U7" s="285">
        <v>10</v>
      </c>
      <c r="V7" s="285"/>
      <c r="W7" s="288"/>
      <c r="X7" s="284">
        <v>11</v>
      </c>
      <c r="Y7" s="285">
        <v>12</v>
      </c>
      <c r="Z7" s="289">
        <v>13</v>
      </c>
      <c r="AA7" s="286">
        <v>17</v>
      </c>
      <c r="AB7" s="126">
        <v>18</v>
      </c>
      <c r="AC7" s="126">
        <v>19</v>
      </c>
      <c r="AD7" s="110"/>
      <c r="AE7" s="110"/>
      <c r="AF7" s="304"/>
      <c r="AG7" s="304"/>
      <c r="AH7" s="110"/>
      <c r="AI7" s="110"/>
      <c r="AJ7" s="110"/>
      <c r="AK7" s="123"/>
    </row>
    <row r="8" spans="1:37" x14ac:dyDescent="0.2">
      <c r="A8" s="468" t="s">
        <v>57</v>
      </c>
      <c r="B8" s="469"/>
      <c r="C8" s="102"/>
      <c r="D8" s="12"/>
      <c r="E8" s="12"/>
      <c r="F8" s="12"/>
      <c r="G8" s="12"/>
      <c r="H8" s="12"/>
      <c r="I8" s="12"/>
      <c r="J8" s="12"/>
      <c r="K8" s="12"/>
      <c r="L8" s="12"/>
      <c r="M8" s="105"/>
      <c r="N8" s="102"/>
      <c r="O8" s="12"/>
      <c r="P8" s="12"/>
      <c r="Q8" s="12"/>
      <c r="R8" s="13"/>
      <c r="S8" s="127"/>
      <c r="T8" s="12"/>
      <c r="U8" s="12"/>
      <c r="V8" s="12"/>
      <c r="W8" s="13"/>
      <c r="X8" s="102"/>
      <c r="Y8" s="12"/>
      <c r="Z8" s="105"/>
      <c r="AA8" s="102">
        <f t="shared" ref="AA8:AA22" si="0">X8+S8+N8+C8</f>
        <v>0</v>
      </c>
      <c r="AB8" s="12"/>
      <c r="AC8" s="12"/>
      <c r="AD8" s="110"/>
      <c r="AE8" s="110"/>
      <c r="AF8" s="110"/>
      <c r="AG8" s="110"/>
      <c r="AH8" s="110"/>
      <c r="AI8" s="110"/>
      <c r="AJ8" s="110"/>
      <c r="AK8" s="123"/>
    </row>
    <row r="9" spans="1:37" x14ac:dyDescent="0.2">
      <c r="A9" s="286" t="s">
        <v>2</v>
      </c>
      <c r="B9" s="65" t="s">
        <v>3</v>
      </c>
      <c r="C9" s="50">
        <v>160666164</v>
      </c>
      <c r="D9" s="12">
        <v>1720</v>
      </c>
      <c r="E9" s="12">
        <v>162386</v>
      </c>
      <c r="F9" s="12">
        <v>126</v>
      </c>
      <c r="G9" s="12">
        <f>SUM(E9:F9)</f>
        <v>162512</v>
      </c>
      <c r="H9" s="12">
        <v>62</v>
      </c>
      <c r="I9" s="12">
        <f>SUM(G9:H9)</f>
        <v>162574</v>
      </c>
      <c r="J9" s="12">
        <v>124</v>
      </c>
      <c r="K9" s="12">
        <f>SUM(I9:J9)</f>
        <v>162698</v>
      </c>
      <c r="L9" s="12">
        <v>6</v>
      </c>
      <c r="M9" s="105">
        <f>SUM(K9:L9)</f>
        <v>162704</v>
      </c>
      <c r="N9" s="50">
        <v>0</v>
      </c>
      <c r="O9" s="96"/>
      <c r="P9" s="96"/>
      <c r="Q9" s="96"/>
      <c r="R9" s="263">
        <f>SUM(P9:Q9)</f>
        <v>0</v>
      </c>
      <c r="S9" s="127">
        <f>'[1]2016 ktgv kiadás_01'!$M$56</f>
        <v>0</v>
      </c>
      <c r="T9" s="12">
        <v>2919</v>
      </c>
      <c r="U9" s="12">
        <f>SUM(T9)</f>
        <v>2919</v>
      </c>
      <c r="V9" s="12">
        <v>7</v>
      </c>
      <c r="W9" s="13">
        <f>SUM(U9:V9)</f>
        <v>2926</v>
      </c>
      <c r="X9" s="102">
        <f>'[1]2016 ktgv kiadás_01'!$O$56</f>
        <v>0</v>
      </c>
      <c r="Y9" s="12"/>
      <c r="Z9" s="105"/>
      <c r="AA9" s="50">
        <f t="shared" si="0"/>
        <v>160666164</v>
      </c>
      <c r="AB9" s="12">
        <f>D9+T9</f>
        <v>4639</v>
      </c>
      <c r="AC9" s="12">
        <v>165305</v>
      </c>
      <c r="AD9" s="113">
        <f>F9+V9</f>
        <v>133</v>
      </c>
      <c r="AE9" s="113">
        <f>SUM(AC9:AD9)</f>
        <v>165438</v>
      </c>
      <c r="AF9" s="113">
        <f>H9</f>
        <v>62</v>
      </c>
      <c r="AG9" s="113">
        <f>SUM(AE9:AF9)</f>
        <v>165500</v>
      </c>
      <c r="AH9" s="113">
        <f>J9</f>
        <v>124</v>
      </c>
      <c r="AI9" s="113">
        <f>SUM(AG9:AH9)</f>
        <v>165624</v>
      </c>
      <c r="AJ9" s="113">
        <f>L9+Q9</f>
        <v>6</v>
      </c>
      <c r="AK9" s="125">
        <f>SUM(AI9:AJ9)</f>
        <v>165630</v>
      </c>
    </row>
    <row r="10" spans="1:37" ht="24" x14ac:dyDescent="0.2">
      <c r="A10" s="286" t="s">
        <v>4</v>
      </c>
      <c r="B10" s="66" t="s">
        <v>39</v>
      </c>
      <c r="C10" s="50">
        <v>32870183</v>
      </c>
      <c r="D10" s="12">
        <v>79</v>
      </c>
      <c r="E10" s="12">
        <v>32949</v>
      </c>
      <c r="F10" s="12">
        <v>25</v>
      </c>
      <c r="G10" s="12">
        <f t="shared" ref="G10:G39" si="1">SUM(E10:F10)</f>
        <v>32974</v>
      </c>
      <c r="H10" s="12">
        <v>12</v>
      </c>
      <c r="I10" s="12">
        <f t="shared" ref="I10:I39" si="2">SUM(G10:H10)</f>
        <v>32986</v>
      </c>
      <c r="J10" s="12">
        <v>24</v>
      </c>
      <c r="K10" s="12">
        <f t="shared" ref="K10:K38" si="3">SUM(I10:J10)</f>
        <v>33010</v>
      </c>
      <c r="L10" s="12">
        <v>140</v>
      </c>
      <c r="M10" s="105">
        <f t="shared" ref="M10:M39" si="4">SUM(K10:L10)</f>
        <v>33150</v>
      </c>
      <c r="N10" s="50">
        <v>0</v>
      </c>
      <c r="O10" s="96"/>
      <c r="P10" s="96"/>
      <c r="Q10" s="96"/>
      <c r="R10" s="263">
        <f t="shared" ref="R10:R38" si="5">SUM(P10:Q10)</f>
        <v>0</v>
      </c>
      <c r="S10" s="127">
        <f>'[1]2016 ktgv kiadás_01'!$M$66</f>
        <v>0</v>
      </c>
      <c r="T10" s="12">
        <v>626</v>
      </c>
      <c r="U10" s="12">
        <f t="shared" ref="U10:U39" si="6">SUM(T10)</f>
        <v>626</v>
      </c>
      <c r="V10" s="12"/>
      <c r="W10" s="13">
        <f t="shared" ref="W10:W39" si="7">SUM(U10:V10)</f>
        <v>626</v>
      </c>
      <c r="X10" s="102">
        <f>'[1]2016 ktgv kiadás_01'!$O$65</f>
        <v>0</v>
      </c>
      <c r="Y10" s="12"/>
      <c r="Z10" s="105"/>
      <c r="AA10" s="50">
        <f t="shared" si="0"/>
        <v>32870183</v>
      </c>
      <c r="AB10" s="12">
        <f t="shared" ref="AB10:AB39" si="8">D10+T10</f>
        <v>705</v>
      </c>
      <c r="AC10" s="12">
        <v>33575</v>
      </c>
      <c r="AD10" s="113">
        <f t="shared" ref="AD10:AD39" si="9">F10+V10</f>
        <v>25</v>
      </c>
      <c r="AE10" s="113">
        <f t="shared" ref="AE10:AE39" si="10">SUM(AC10:AD10)</f>
        <v>33600</v>
      </c>
      <c r="AF10" s="113">
        <f t="shared" ref="AF10:AF39" si="11">H10</f>
        <v>12</v>
      </c>
      <c r="AG10" s="113">
        <f t="shared" ref="AG10:AG38" si="12">SUM(AE10:AF10)</f>
        <v>33612</v>
      </c>
      <c r="AH10" s="113">
        <f t="shared" ref="AH10:AH39" si="13">J10</f>
        <v>24</v>
      </c>
      <c r="AI10" s="113">
        <f t="shared" ref="AI10:AI38" si="14">SUM(AG10:AH10)</f>
        <v>33636</v>
      </c>
      <c r="AJ10" s="113">
        <f t="shared" ref="AJ10:AJ39" si="15">L10+Q10</f>
        <v>140</v>
      </c>
      <c r="AK10" s="125">
        <f t="shared" ref="AK10:AK39" si="16">SUM(AI10:AJ10)</f>
        <v>33776</v>
      </c>
    </row>
    <row r="11" spans="1:37" x14ac:dyDescent="0.2">
      <c r="A11" s="286" t="s">
        <v>5</v>
      </c>
      <c r="B11" s="65" t="s">
        <v>71</v>
      </c>
      <c r="C11" s="50">
        <v>44260530</v>
      </c>
      <c r="D11" s="12">
        <v>1739</v>
      </c>
      <c r="E11" s="12">
        <v>46000</v>
      </c>
      <c r="F11" s="12">
        <v>159</v>
      </c>
      <c r="G11" s="12">
        <f t="shared" si="1"/>
        <v>46159</v>
      </c>
      <c r="H11" s="12"/>
      <c r="I11" s="12">
        <f t="shared" si="2"/>
        <v>46159</v>
      </c>
      <c r="J11" s="12">
        <v>-381</v>
      </c>
      <c r="K11" s="12">
        <f t="shared" si="3"/>
        <v>45778</v>
      </c>
      <c r="L11" s="12">
        <f>-252+248</f>
        <v>-4</v>
      </c>
      <c r="M11" s="105">
        <f t="shared" si="4"/>
        <v>45774</v>
      </c>
      <c r="N11" s="50">
        <v>381000</v>
      </c>
      <c r="O11" s="96"/>
      <c r="P11" s="96">
        <v>381</v>
      </c>
      <c r="Q11" s="96">
        <v>315</v>
      </c>
      <c r="R11" s="263">
        <f t="shared" si="5"/>
        <v>696</v>
      </c>
      <c r="S11" s="127">
        <f>'[1]2016 ktgv kiadás_01'!$M$162</f>
        <v>0</v>
      </c>
      <c r="T11" s="12">
        <v>500</v>
      </c>
      <c r="U11" s="12">
        <f t="shared" si="6"/>
        <v>500</v>
      </c>
      <c r="V11" s="12">
        <v>-7</v>
      </c>
      <c r="W11" s="13">
        <f t="shared" si="7"/>
        <v>493</v>
      </c>
      <c r="X11" s="102">
        <f>'[1]2016 ktgv kiadás_01'!$O$162</f>
        <v>0</v>
      </c>
      <c r="Y11" s="12"/>
      <c r="Z11" s="105"/>
      <c r="AA11" s="50">
        <f t="shared" si="0"/>
        <v>44641530</v>
      </c>
      <c r="AB11" s="12">
        <f t="shared" si="8"/>
        <v>2239</v>
      </c>
      <c r="AC11" s="12">
        <v>46881</v>
      </c>
      <c r="AD11" s="113">
        <f t="shared" si="9"/>
        <v>152</v>
      </c>
      <c r="AE11" s="113">
        <f t="shared" si="10"/>
        <v>47033</v>
      </c>
      <c r="AF11" s="113">
        <f t="shared" si="11"/>
        <v>0</v>
      </c>
      <c r="AG11" s="113">
        <f t="shared" si="12"/>
        <v>47033</v>
      </c>
      <c r="AH11" s="113">
        <f t="shared" si="13"/>
        <v>-381</v>
      </c>
      <c r="AI11" s="113">
        <f t="shared" si="14"/>
        <v>46652</v>
      </c>
      <c r="AJ11" s="113">
        <f t="shared" si="15"/>
        <v>311</v>
      </c>
      <c r="AK11" s="125">
        <f t="shared" si="16"/>
        <v>46963</v>
      </c>
    </row>
    <row r="12" spans="1:37" x14ac:dyDescent="0.2">
      <c r="A12" s="286" t="s">
        <v>6</v>
      </c>
      <c r="B12" s="65" t="s">
        <v>41</v>
      </c>
      <c r="C12" s="102">
        <v>0</v>
      </c>
      <c r="D12" s="12"/>
      <c r="E12" s="12"/>
      <c r="F12" s="12"/>
      <c r="G12" s="12">
        <f t="shared" si="1"/>
        <v>0</v>
      </c>
      <c r="H12" s="12"/>
      <c r="I12" s="12">
        <f t="shared" si="2"/>
        <v>0</v>
      </c>
      <c r="J12" s="12"/>
      <c r="K12" s="12">
        <f t="shared" si="3"/>
        <v>0</v>
      </c>
      <c r="L12" s="12"/>
      <c r="M12" s="105">
        <f t="shared" si="4"/>
        <v>0</v>
      </c>
      <c r="N12" s="102">
        <f>'[1]2016 ktgv kiadás_01'!$I$171</f>
        <v>0</v>
      </c>
      <c r="O12" s="96"/>
      <c r="P12" s="96"/>
      <c r="Q12" s="96"/>
      <c r="R12" s="263">
        <f t="shared" si="5"/>
        <v>0</v>
      </c>
      <c r="S12" s="127">
        <f>'[1]2016 ktgv kiadás_01'!$M$171</f>
        <v>0</v>
      </c>
      <c r="T12" s="12"/>
      <c r="U12" s="12">
        <f t="shared" si="6"/>
        <v>0</v>
      </c>
      <c r="V12" s="12"/>
      <c r="W12" s="13">
        <f t="shared" si="7"/>
        <v>0</v>
      </c>
      <c r="X12" s="102">
        <v>0</v>
      </c>
      <c r="Y12" s="12"/>
      <c r="Z12" s="105"/>
      <c r="AA12" s="102">
        <f t="shared" si="0"/>
        <v>0</v>
      </c>
      <c r="AB12" s="12">
        <f t="shared" si="8"/>
        <v>0</v>
      </c>
      <c r="AC12" s="12"/>
      <c r="AD12" s="113">
        <f t="shared" si="9"/>
        <v>0</v>
      </c>
      <c r="AE12" s="113">
        <f t="shared" si="10"/>
        <v>0</v>
      </c>
      <c r="AF12" s="113">
        <f t="shared" si="11"/>
        <v>0</v>
      </c>
      <c r="AG12" s="113">
        <f t="shared" si="12"/>
        <v>0</v>
      </c>
      <c r="AH12" s="113">
        <f t="shared" si="13"/>
        <v>0</v>
      </c>
      <c r="AI12" s="113">
        <f t="shared" si="14"/>
        <v>0</v>
      </c>
      <c r="AJ12" s="113">
        <f t="shared" si="15"/>
        <v>0</v>
      </c>
      <c r="AK12" s="125">
        <f t="shared" si="16"/>
        <v>0</v>
      </c>
    </row>
    <row r="13" spans="1:37" x14ac:dyDescent="0.2">
      <c r="A13" s="286" t="s">
        <v>7</v>
      </c>
      <c r="B13" s="65" t="s">
        <v>42</v>
      </c>
      <c r="C13" s="102">
        <v>0</v>
      </c>
      <c r="D13" s="12">
        <v>5</v>
      </c>
      <c r="E13" s="12">
        <v>5</v>
      </c>
      <c r="F13" s="12"/>
      <c r="G13" s="12">
        <f t="shared" si="1"/>
        <v>5</v>
      </c>
      <c r="H13" s="12"/>
      <c r="I13" s="12">
        <f t="shared" si="2"/>
        <v>5</v>
      </c>
      <c r="J13" s="12"/>
      <c r="K13" s="12">
        <f t="shared" si="3"/>
        <v>5</v>
      </c>
      <c r="L13" s="12">
        <v>2</v>
      </c>
      <c r="M13" s="105">
        <f t="shared" si="4"/>
        <v>7</v>
      </c>
      <c r="N13" s="102">
        <f>'[1]2016 ktgv kiadás_01'!$I$188</f>
        <v>0</v>
      </c>
      <c r="O13" s="96"/>
      <c r="P13" s="96"/>
      <c r="Q13" s="96"/>
      <c r="R13" s="263">
        <f t="shared" si="5"/>
        <v>0</v>
      </c>
      <c r="S13" s="127">
        <f>'[1]2016 ktgv kiadás_01'!$M$188</f>
        <v>0</v>
      </c>
      <c r="T13" s="12"/>
      <c r="U13" s="12">
        <f t="shared" si="6"/>
        <v>0</v>
      </c>
      <c r="V13" s="12"/>
      <c r="W13" s="13">
        <f t="shared" si="7"/>
        <v>0</v>
      </c>
      <c r="X13" s="102">
        <f>'[1]2016 ktgv kiadás_01'!$O$188</f>
        <v>0</v>
      </c>
      <c r="Y13" s="12"/>
      <c r="Z13" s="105"/>
      <c r="AA13" s="102">
        <f t="shared" si="0"/>
        <v>0</v>
      </c>
      <c r="AB13" s="12">
        <f t="shared" si="8"/>
        <v>5</v>
      </c>
      <c r="AC13" s="12">
        <v>5</v>
      </c>
      <c r="AD13" s="113">
        <f t="shared" si="9"/>
        <v>0</v>
      </c>
      <c r="AE13" s="113">
        <f t="shared" si="10"/>
        <v>5</v>
      </c>
      <c r="AF13" s="113">
        <f t="shared" si="11"/>
        <v>0</v>
      </c>
      <c r="AG13" s="113">
        <f t="shared" si="12"/>
        <v>5</v>
      </c>
      <c r="AH13" s="113">
        <f t="shared" si="13"/>
        <v>0</v>
      </c>
      <c r="AI13" s="113">
        <f t="shared" si="14"/>
        <v>5</v>
      </c>
      <c r="AJ13" s="113">
        <f t="shared" si="15"/>
        <v>2</v>
      </c>
      <c r="AK13" s="125">
        <f t="shared" si="16"/>
        <v>7</v>
      </c>
    </row>
    <row r="14" spans="1:37" s="24" customFormat="1" x14ac:dyDescent="0.2">
      <c r="A14" s="286" t="s">
        <v>8</v>
      </c>
      <c r="B14" s="67" t="s">
        <v>72</v>
      </c>
      <c r="C14" s="102">
        <v>0</v>
      </c>
      <c r="D14" s="33"/>
      <c r="E14" s="33"/>
      <c r="F14" s="33"/>
      <c r="G14" s="12">
        <f t="shared" si="1"/>
        <v>0</v>
      </c>
      <c r="H14" s="12"/>
      <c r="I14" s="12">
        <f t="shared" si="2"/>
        <v>0</v>
      </c>
      <c r="J14" s="12"/>
      <c r="K14" s="12">
        <f t="shared" si="3"/>
        <v>0</v>
      </c>
      <c r="L14" s="12"/>
      <c r="M14" s="105">
        <f t="shared" si="4"/>
        <v>0</v>
      </c>
      <c r="N14" s="244">
        <f>'[1]2016 ktgv kiadás_01'!$I$187</f>
        <v>0</v>
      </c>
      <c r="O14" s="97"/>
      <c r="P14" s="97"/>
      <c r="Q14" s="97"/>
      <c r="R14" s="263">
        <f t="shared" si="5"/>
        <v>0</v>
      </c>
      <c r="S14" s="258">
        <f>'[1]2016 ktgv kiadás_01'!$M$187</f>
        <v>0</v>
      </c>
      <c r="T14" s="33"/>
      <c r="U14" s="12">
        <f t="shared" si="6"/>
        <v>0</v>
      </c>
      <c r="V14" s="12"/>
      <c r="W14" s="13">
        <f t="shared" si="7"/>
        <v>0</v>
      </c>
      <c r="X14" s="244">
        <f>'[1]2016 ktgv kiadás_01'!$O$187</f>
        <v>0</v>
      </c>
      <c r="Y14" s="33"/>
      <c r="Z14" s="261"/>
      <c r="AA14" s="102">
        <f t="shared" si="0"/>
        <v>0</v>
      </c>
      <c r="AB14" s="12">
        <f t="shared" si="8"/>
        <v>0</v>
      </c>
      <c r="AC14" s="33"/>
      <c r="AD14" s="113">
        <f t="shared" si="9"/>
        <v>0</v>
      </c>
      <c r="AE14" s="113">
        <f t="shared" si="10"/>
        <v>0</v>
      </c>
      <c r="AF14" s="113">
        <f t="shared" si="11"/>
        <v>0</v>
      </c>
      <c r="AG14" s="113">
        <f t="shared" si="12"/>
        <v>0</v>
      </c>
      <c r="AH14" s="113">
        <f t="shared" si="13"/>
        <v>0</v>
      </c>
      <c r="AI14" s="113">
        <f t="shared" si="14"/>
        <v>0</v>
      </c>
      <c r="AJ14" s="113">
        <f t="shared" si="15"/>
        <v>0</v>
      </c>
      <c r="AK14" s="125">
        <f t="shared" si="16"/>
        <v>0</v>
      </c>
    </row>
    <row r="15" spans="1:37" s="7" customFormat="1" x14ac:dyDescent="0.2">
      <c r="A15" s="20" t="s">
        <v>9</v>
      </c>
      <c r="B15" s="68" t="s">
        <v>43</v>
      </c>
      <c r="C15" s="118">
        <f>SUM(C9:C13)</f>
        <v>237796877</v>
      </c>
      <c r="D15" s="35">
        <v>3543</v>
      </c>
      <c r="E15" s="35">
        <v>241340</v>
      </c>
      <c r="F15" s="35">
        <f>SUM(F9:F14)</f>
        <v>310</v>
      </c>
      <c r="G15" s="12">
        <f>SUM(G9:G14)</f>
        <v>241650</v>
      </c>
      <c r="H15" s="12">
        <f>SUM(H9:H14)</f>
        <v>74</v>
      </c>
      <c r="I15" s="12">
        <f t="shared" si="2"/>
        <v>241724</v>
      </c>
      <c r="J15" s="12">
        <f>SUM(J9:J14)</f>
        <v>-233</v>
      </c>
      <c r="K15" s="12">
        <f t="shared" si="3"/>
        <v>241491</v>
      </c>
      <c r="L15" s="12">
        <f>SUM(L9:L14)</f>
        <v>144</v>
      </c>
      <c r="M15" s="105">
        <f>SUM(K15:L15)</f>
        <v>241635</v>
      </c>
      <c r="N15" s="118">
        <f t="shared" ref="N15:Z15" si="17">N9+N10+N11+N12+N13+N14</f>
        <v>381000</v>
      </c>
      <c r="O15" s="98">
        <f t="shared" si="17"/>
        <v>0</v>
      </c>
      <c r="P15" s="98">
        <v>381</v>
      </c>
      <c r="Q15" s="98">
        <f>SUM(Q11)</f>
        <v>315</v>
      </c>
      <c r="R15" s="263">
        <f t="shared" si="5"/>
        <v>696</v>
      </c>
      <c r="S15" s="128">
        <f t="shared" si="17"/>
        <v>0</v>
      </c>
      <c r="T15" s="35">
        <f t="shared" si="17"/>
        <v>4045</v>
      </c>
      <c r="U15" s="12">
        <f t="shared" si="6"/>
        <v>4045</v>
      </c>
      <c r="V15" s="12">
        <f>SUM(V9:V14)</f>
        <v>0</v>
      </c>
      <c r="W15" s="13">
        <f t="shared" si="7"/>
        <v>4045</v>
      </c>
      <c r="X15" s="118">
        <v>0</v>
      </c>
      <c r="Y15" s="48">
        <f t="shared" si="17"/>
        <v>0</v>
      </c>
      <c r="Z15" s="260">
        <f t="shared" si="17"/>
        <v>0</v>
      </c>
      <c r="AA15" s="118">
        <f t="shared" si="0"/>
        <v>238177877</v>
      </c>
      <c r="AB15" s="12">
        <f t="shared" si="8"/>
        <v>7588</v>
      </c>
      <c r="AC15" s="35">
        <v>245766</v>
      </c>
      <c r="AD15" s="113">
        <f t="shared" si="9"/>
        <v>310</v>
      </c>
      <c r="AE15" s="113">
        <f t="shared" si="10"/>
        <v>246076</v>
      </c>
      <c r="AF15" s="113">
        <f t="shared" si="11"/>
        <v>74</v>
      </c>
      <c r="AG15" s="113">
        <f t="shared" si="12"/>
        <v>246150</v>
      </c>
      <c r="AH15" s="113">
        <f t="shared" si="13"/>
        <v>-233</v>
      </c>
      <c r="AI15" s="113">
        <f t="shared" si="14"/>
        <v>245917</v>
      </c>
      <c r="AJ15" s="113">
        <f t="shared" si="15"/>
        <v>459</v>
      </c>
      <c r="AK15" s="125">
        <f t="shared" si="16"/>
        <v>246376</v>
      </c>
    </row>
    <row r="16" spans="1:37" x14ac:dyDescent="0.2">
      <c r="A16" s="286" t="s">
        <v>10</v>
      </c>
      <c r="B16" s="65" t="s">
        <v>44</v>
      </c>
      <c r="C16" s="50">
        <v>5624830</v>
      </c>
      <c r="D16" s="35">
        <v>287</v>
      </c>
      <c r="E16" s="47">
        <v>5912000</v>
      </c>
      <c r="F16" s="47"/>
      <c r="G16" s="12">
        <v>5912</v>
      </c>
      <c r="H16" s="12"/>
      <c r="I16" s="12">
        <f t="shared" si="2"/>
        <v>5912</v>
      </c>
      <c r="J16" s="12">
        <v>381</v>
      </c>
      <c r="K16" s="12">
        <f t="shared" si="3"/>
        <v>6293</v>
      </c>
      <c r="L16" s="12">
        <v>-29</v>
      </c>
      <c r="M16" s="105">
        <f t="shared" si="4"/>
        <v>6264</v>
      </c>
      <c r="N16" s="50">
        <f>'[1]2016 ktgv kiadás_01'!$I$205</f>
        <v>0</v>
      </c>
      <c r="O16" s="98"/>
      <c r="P16" s="96"/>
      <c r="Q16" s="96">
        <v>29</v>
      </c>
      <c r="R16" s="263">
        <f t="shared" si="5"/>
        <v>29</v>
      </c>
      <c r="S16" s="299">
        <f>'[1]2016 ktgv kiadás_01'!$M$205</f>
        <v>0</v>
      </c>
      <c r="T16" s="35"/>
      <c r="U16" s="12">
        <f t="shared" si="6"/>
        <v>0</v>
      </c>
      <c r="V16" s="12"/>
      <c r="W16" s="13">
        <f t="shared" si="7"/>
        <v>0</v>
      </c>
      <c r="X16" s="50">
        <f>'[1]2016 ktgv kiadás_01'!$O$205</f>
        <v>0</v>
      </c>
      <c r="Y16" s="48"/>
      <c r="Z16" s="301"/>
      <c r="AA16" s="50">
        <f t="shared" si="0"/>
        <v>5624830</v>
      </c>
      <c r="AB16" s="12">
        <f t="shared" si="8"/>
        <v>287</v>
      </c>
      <c r="AC16" s="12">
        <v>5912</v>
      </c>
      <c r="AD16" s="113">
        <f t="shared" si="9"/>
        <v>0</v>
      </c>
      <c r="AE16" s="113">
        <f t="shared" si="10"/>
        <v>5912</v>
      </c>
      <c r="AF16" s="113">
        <f t="shared" si="11"/>
        <v>0</v>
      </c>
      <c r="AG16" s="113">
        <f t="shared" si="12"/>
        <v>5912</v>
      </c>
      <c r="AH16" s="113">
        <f t="shared" si="13"/>
        <v>381</v>
      </c>
      <c r="AI16" s="113">
        <f t="shared" si="14"/>
        <v>6293</v>
      </c>
      <c r="AJ16" s="113">
        <f t="shared" si="15"/>
        <v>0</v>
      </c>
      <c r="AK16" s="125">
        <f t="shared" si="16"/>
        <v>6293</v>
      </c>
    </row>
    <row r="17" spans="1:37" x14ac:dyDescent="0.2">
      <c r="A17" s="286" t="s">
        <v>11</v>
      </c>
      <c r="B17" s="65" t="s">
        <v>45</v>
      </c>
      <c r="C17" s="50">
        <v>0</v>
      </c>
      <c r="D17" s="12"/>
      <c r="E17" s="47"/>
      <c r="F17" s="47"/>
      <c r="G17" s="12">
        <f t="shared" si="1"/>
        <v>0</v>
      </c>
      <c r="H17" s="12"/>
      <c r="I17" s="12">
        <f t="shared" si="2"/>
        <v>0</v>
      </c>
      <c r="J17" s="12"/>
      <c r="K17" s="12">
        <f t="shared" si="3"/>
        <v>0</v>
      </c>
      <c r="L17" s="12"/>
      <c r="M17" s="105">
        <f t="shared" si="4"/>
        <v>0</v>
      </c>
      <c r="N17" s="50">
        <f>'[1]2016 ktgv kiadás_01'!$I$213</f>
        <v>0</v>
      </c>
      <c r="O17" s="96"/>
      <c r="P17" s="96"/>
      <c r="Q17" s="96"/>
      <c r="R17" s="263">
        <f t="shared" si="5"/>
        <v>0</v>
      </c>
      <c r="S17" s="299">
        <f>'[1]2016 ktgv kiadás_01'!$M$213</f>
        <v>0</v>
      </c>
      <c r="T17" s="12"/>
      <c r="U17" s="12">
        <f t="shared" si="6"/>
        <v>0</v>
      </c>
      <c r="V17" s="12"/>
      <c r="W17" s="13">
        <f t="shared" si="7"/>
        <v>0</v>
      </c>
      <c r="X17" s="50">
        <f>'[1]2016 ktgv kiadás_01'!$O$213</f>
        <v>0</v>
      </c>
      <c r="Y17" s="47"/>
      <c r="Z17" s="301"/>
      <c r="AA17" s="50">
        <f t="shared" si="0"/>
        <v>0</v>
      </c>
      <c r="AB17" s="12">
        <f t="shared" si="8"/>
        <v>0</v>
      </c>
      <c r="AC17" s="12"/>
      <c r="AD17" s="113">
        <f t="shared" si="9"/>
        <v>0</v>
      </c>
      <c r="AE17" s="113">
        <f t="shared" si="10"/>
        <v>0</v>
      </c>
      <c r="AF17" s="113">
        <f t="shared" si="11"/>
        <v>0</v>
      </c>
      <c r="AG17" s="113">
        <f t="shared" si="12"/>
        <v>0</v>
      </c>
      <c r="AH17" s="113">
        <f t="shared" si="13"/>
        <v>0</v>
      </c>
      <c r="AI17" s="113">
        <f t="shared" si="14"/>
        <v>0</v>
      </c>
      <c r="AJ17" s="113">
        <f t="shared" si="15"/>
        <v>0</v>
      </c>
      <c r="AK17" s="125">
        <f t="shared" si="16"/>
        <v>0</v>
      </c>
    </row>
    <row r="18" spans="1:37" x14ac:dyDescent="0.2">
      <c r="A18" s="286" t="s">
        <v>12</v>
      </c>
      <c r="B18" s="65" t="s">
        <v>46</v>
      </c>
      <c r="C18" s="50">
        <v>0</v>
      </c>
      <c r="D18" s="12"/>
      <c r="E18" s="47"/>
      <c r="F18" s="47"/>
      <c r="G18" s="12">
        <f t="shared" si="1"/>
        <v>0</v>
      </c>
      <c r="H18" s="12"/>
      <c r="I18" s="12">
        <f t="shared" si="2"/>
        <v>0</v>
      </c>
      <c r="J18" s="12"/>
      <c r="K18" s="12">
        <f t="shared" si="3"/>
        <v>0</v>
      </c>
      <c r="L18" s="12"/>
      <c r="M18" s="105">
        <f t="shared" si="4"/>
        <v>0</v>
      </c>
      <c r="N18" s="50">
        <f>'[1]2016 ktgv kiadás_01'!$I$223</f>
        <v>0</v>
      </c>
      <c r="O18" s="96"/>
      <c r="P18" s="96"/>
      <c r="Q18" s="96"/>
      <c r="R18" s="263">
        <f t="shared" si="5"/>
        <v>0</v>
      </c>
      <c r="S18" s="299">
        <f>'[1]2016 ktgv kiadás_01'!$M$223</f>
        <v>0</v>
      </c>
      <c r="T18" s="12"/>
      <c r="U18" s="12">
        <f t="shared" si="6"/>
        <v>0</v>
      </c>
      <c r="V18" s="12"/>
      <c r="W18" s="13">
        <f t="shared" si="7"/>
        <v>0</v>
      </c>
      <c r="X18" s="50">
        <f>'[1]2016 ktgv kiadás_01'!$O$223</f>
        <v>0</v>
      </c>
      <c r="Y18" s="47"/>
      <c r="Z18" s="301"/>
      <c r="AA18" s="50">
        <f t="shared" si="0"/>
        <v>0</v>
      </c>
      <c r="AB18" s="12">
        <f t="shared" si="8"/>
        <v>0</v>
      </c>
      <c r="AC18" s="12"/>
      <c r="AD18" s="113">
        <f t="shared" si="9"/>
        <v>0</v>
      </c>
      <c r="AE18" s="113">
        <f t="shared" si="10"/>
        <v>0</v>
      </c>
      <c r="AF18" s="113">
        <f t="shared" si="11"/>
        <v>0</v>
      </c>
      <c r="AG18" s="113">
        <f t="shared" si="12"/>
        <v>0</v>
      </c>
      <c r="AH18" s="113">
        <f t="shared" si="13"/>
        <v>0</v>
      </c>
      <c r="AI18" s="113">
        <f t="shared" si="14"/>
        <v>0</v>
      </c>
      <c r="AJ18" s="113">
        <f t="shared" si="15"/>
        <v>0</v>
      </c>
      <c r="AK18" s="125">
        <f t="shared" si="16"/>
        <v>0</v>
      </c>
    </row>
    <row r="19" spans="1:37" s="7" customFormat="1" x14ac:dyDescent="0.2">
      <c r="A19" s="20" t="s">
        <v>13</v>
      </c>
      <c r="B19" s="68" t="s">
        <v>47</v>
      </c>
      <c r="C19" s="118">
        <f>SUM(C16:C18)</f>
        <v>5624830</v>
      </c>
      <c r="D19" s="35">
        <f t="shared" ref="D19:Z19" si="18">D16+D17+D18</f>
        <v>287</v>
      </c>
      <c r="E19" s="48">
        <f t="shared" si="18"/>
        <v>5912000</v>
      </c>
      <c r="F19" s="48"/>
      <c r="G19" s="12">
        <v>5912</v>
      </c>
      <c r="H19" s="12"/>
      <c r="I19" s="12">
        <f t="shared" si="2"/>
        <v>5912</v>
      </c>
      <c r="J19" s="12">
        <v>381</v>
      </c>
      <c r="K19" s="12">
        <f t="shared" si="3"/>
        <v>6293</v>
      </c>
      <c r="L19" s="12">
        <v>-29</v>
      </c>
      <c r="M19" s="105">
        <f t="shared" si="4"/>
        <v>6264</v>
      </c>
      <c r="N19" s="118">
        <f t="shared" si="18"/>
        <v>0</v>
      </c>
      <c r="O19" s="98">
        <f t="shared" si="18"/>
        <v>0</v>
      </c>
      <c r="P19" s="98">
        <f t="shared" si="18"/>
        <v>0</v>
      </c>
      <c r="Q19" s="98">
        <v>29</v>
      </c>
      <c r="R19" s="263">
        <f t="shared" si="5"/>
        <v>29</v>
      </c>
      <c r="S19" s="128">
        <f t="shared" si="18"/>
        <v>0</v>
      </c>
      <c r="T19" s="35">
        <f t="shared" si="18"/>
        <v>0</v>
      </c>
      <c r="U19" s="12">
        <f t="shared" si="6"/>
        <v>0</v>
      </c>
      <c r="V19" s="12"/>
      <c r="W19" s="13">
        <f t="shared" si="7"/>
        <v>0</v>
      </c>
      <c r="X19" s="118">
        <f t="shared" si="18"/>
        <v>0</v>
      </c>
      <c r="Y19" s="48">
        <f t="shared" si="18"/>
        <v>0</v>
      </c>
      <c r="Z19" s="260">
        <f t="shared" si="18"/>
        <v>0</v>
      </c>
      <c r="AA19" s="118">
        <f t="shared" si="0"/>
        <v>5624830</v>
      </c>
      <c r="AB19" s="12">
        <f t="shared" si="8"/>
        <v>287</v>
      </c>
      <c r="AC19" s="35">
        <v>5912</v>
      </c>
      <c r="AD19" s="113">
        <f t="shared" si="9"/>
        <v>0</v>
      </c>
      <c r="AE19" s="113">
        <f t="shared" si="10"/>
        <v>5912</v>
      </c>
      <c r="AF19" s="113">
        <f t="shared" si="11"/>
        <v>0</v>
      </c>
      <c r="AG19" s="113">
        <f t="shared" si="12"/>
        <v>5912</v>
      </c>
      <c r="AH19" s="113">
        <f t="shared" si="13"/>
        <v>381</v>
      </c>
      <c r="AI19" s="113">
        <f t="shared" si="14"/>
        <v>6293</v>
      </c>
      <c r="AJ19" s="113">
        <f t="shared" si="15"/>
        <v>0</v>
      </c>
      <c r="AK19" s="125">
        <f t="shared" si="16"/>
        <v>6293</v>
      </c>
    </row>
    <row r="20" spans="1:37" s="7" customFormat="1" x14ac:dyDescent="0.2">
      <c r="A20" s="20" t="s">
        <v>14</v>
      </c>
      <c r="B20" s="68" t="s">
        <v>73</v>
      </c>
      <c r="C20" s="118">
        <v>0</v>
      </c>
      <c r="D20" s="35"/>
      <c r="E20" s="48"/>
      <c r="F20" s="48"/>
      <c r="G20" s="12">
        <f t="shared" si="1"/>
        <v>0</v>
      </c>
      <c r="H20" s="12"/>
      <c r="I20" s="12">
        <f t="shared" si="2"/>
        <v>0</v>
      </c>
      <c r="J20" s="12"/>
      <c r="K20" s="12">
        <f t="shared" si="3"/>
        <v>0</v>
      </c>
      <c r="L20" s="12"/>
      <c r="M20" s="105">
        <f t="shared" si="4"/>
        <v>0</v>
      </c>
      <c r="N20" s="118">
        <v>0</v>
      </c>
      <c r="O20" s="98"/>
      <c r="P20" s="98"/>
      <c r="Q20" s="98"/>
      <c r="R20" s="263">
        <f t="shared" si="5"/>
        <v>0</v>
      </c>
      <c r="S20" s="128">
        <v>0</v>
      </c>
      <c r="T20" s="35"/>
      <c r="U20" s="12">
        <f t="shared" si="6"/>
        <v>0</v>
      </c>
      <c r="V20" s="12"/>
      <c r="W20" s="13">
        <f t="shared" si="7"/>
        <v>0</v>
      </c>
      <c r="X20" s="118">
        <v>0</v>
      </c>
      <c r="Y20" s="48"/>
      <c r="Z20" s="260"/>
      <c r="AA20" s="118">
        <f t="shared" si="0"/>
        <v>0</v>
      </c>
      <c r="AB20" s="12">
        <f t="shared" si="8"/>
        <v>0</v>
      </c>
      <c r="AC20" s="35"/>
      <c r="AD20" s="113">
        <f t="shared" si="9"/>
        <v>0</v>
      </c>
      <c r="AE20" s="113">
        <f t="shared" si="10"/>
        <v>0</v>
      </c>
      <c r="AF20" s="113">
        <f t="shared" si="11"/>
        <v>0</v>
      </c>
      <c r="AG20" s="113">
        <f t="shared" si="12"/>
        <v>0</v>
      </c>
      <c r="AH20" s="113">
        <f t="shared" si="13"/>
        <v>0</v>
      </c>
      <c r="AI20" s="113">
        <f t="shared" si="14"/>
        <v>0</v>
      </c>
      <c r="AJ20" s="113">
        <f t="shared" si="15"/>
        <v>0</v>
      </c>
      <c r="AK20" s="125">
        <f t="shared" si="16"/>
        <v>0</v>
      </c>
    </row>
    <row r="21" spans="1:37" x14ac:dyDescent="0.2">
      <c r="A21" s="286" t="s">
        <v>15</v>
      </c>
      <c r="B21" s="67" t="s">
        <v>77</v>
      </c>
      <c r="C21" s="50">
        <v>0</v>
      </c>
      <c r="D21" s="33"/>
      <c r="E21" s="49"/>
      <c r="F21" s="49"/>
      <c r="G21" s="12">
        <f t="shared" si="1"/>
        <v>0</v>
      </c>
      <c r="H21" s="12"/>
      <c r="I21" s="12">
        <f t="shared" si="2"/>
        <v>0</v>
      </c>
      <c r="J21" s="12"/>
      <c r="K21" s="12">
        <f t="shared" si="3"/>
        <v>0</v>
      </c>
      <c r="L21" s="12"/>
      <c r="M21" s="105">
        <f t="shared" si="4"/>
        <v>0</v>
      </c>
      <c r="N21" s="124">
        <v>0</v>
      </c>
      <c r="O21" s="97"/>
      <c r="P21" s="97"/>
      <c r="Q21" s="97"/>
      <c r="R21" s="263">
        <f t="shared" si="5"/>
        <v>0</v>
      </c>
      <c r="S21" s="300">
        <v>0</v>
      </c>
      <c r="T21" s="33"/>
      <c r="U21" s="12">
        <f t="shared" si="6"/>
        <v>0</v>
      </c>
      <c r="V21" s="12"/>
      <c r="W21" s="13">
        <f t="shared" si="7"/>
        <v>0</v>
      </c>
      <c r="X21" s="124">
        <v>0</v>
      </c>
      <c r="Y21" s="305"/>
      <c r="Z21" s="306"/>
      <c r="AA21" s="50">
        <f t="shared" si="0"/>
        <v>0</v>
      </c>
      <c r="AB21" s="12">
        <f t="shared" si="8"/>
        <v>0</v>
      </c>
      <c r="AC21" s="35"/>
      <c r="AD21" s="113">
        <f t="shared" si="9"/>
        <v>0</v>
      </c>
      <c r="AE21" s="113">
        <f t="shared" si="10"/>
        <v>0</v>
      </c>
      <c r="AF21" s="113">
        <f t="shared" si="11"/>
        <v>0</v>
      </c>
      <c r="AG21" s="113">
        <f t="shared" si="12"/>
        <v>0</v>
      </c>
      <c r="AH21" s="113">
        <f t="shared" si="13"/>
        <v>0</v>
      </c>
      <c r="AI21" s="113">
        <f t="shared" si="14"/>
        <v>0</v>
      </c>
      <c r="AJ21" s="113">
        <f t="shared" si="15"/>
        <v>0</v>
      </c>
      <c r="AK21" s="125">
        <f t="shared" si="16"/>
        <v>0</v>
      </c>
    </row>
    <row r="22" spans="1:37" s="7" customFormat="1" x14ac:dyDescent="0.2">
      <c r="A22" s="20" t="s">
        <v>16</v>
      </c>
      <c r="B22" s="68" t="s">
        <v>48</v>
      </c>
      <c r="C22" s="118">
        <f>C19+C15</f>
        <v>243421707</v>
      </c>
      <c r="D22" s="35">
        <f t="shared" ref="D22:Z22" si="19">D20+D19+D15</f>
        <v>3830</v>
      </c>
      <c r="E22" s="35">
        <v>247252</v>
      </c>
      <c r="F22" s="35">
        <v>310</v>
      </c>
      <c r="G22" s="12">
        <v>247562</v>
      </c>
      <c r="H22" s="12">
        <f>SUM(H15)</f>
        <v>74</v>
      </c>
      <c r="I22" s="12">
        <f t="shared" si="2"/>
        <v>247636</v>
      </c>
      <c r="J22" s="12">
        <f>J15+J19</f>
        <v>148</v>
      </c>
      <c r="K22" s="12">
        <f t="shared" si="3"/>
        <v>247784</v>
      </c>
      <c r="L22" s="12">
        <f>L15+L19</f>
        <v>115</v>
      </c>
      <c r="M22" s="105">
        <f t="shared" si="4"/>
        <v>247899</v>
      </c>
      <c r="N22" s="118">
        <f t="shared" si="19"/>
        <v>381000</v>
      </c>
      <c r="O22" s="98">
        <f t="shared" si="19"/>
        <v>0</v>
      </c>
      <c r="P22" s="98">
        <f t="shared" si="19"/>
        <v>381</v>
      </c>
      <c r="Q22" s="98">
        <f>Q15+Q19</f>
        <v>344</v>
      </c>
      <c r="R22" s="263">
        <f t="shared" si="5"/>
        <v>725</v>
      </c>
      <c r="S22" s="128">
        <f t="shared" si="19"/>
        <v>0</v>
      </c>
      <c r="T22" s="35">
        <f t="shared" si="19"/>
        <v>4045</v>
      </c>
      <c r="U22" s="12">
        <f t="shared" si="6"/>
        <v>4045</v>
      </c>
      <c r="V22" s="12">
        <f>SUM(V15)</f>
        <v>0</v>
      </c>
      <c r="W22" s="13">
        <f t="shared" si="7"/>
        <v>4045</v>
      </c>
      <c r="X22" s="118">
        <f t="shared" si="19"/>
        <v>0</v>
      </c>
      <c r="Y22" s="48">
        <f t="shared" si="19"/>
        <v>0</v>
      </c>
      <c r="Z22" s="260">
        <f t="shared" si="19"/>
        <v>0</v>
      </c>
      <c r="AA22" s="118">
        <f t="shared" si="0"/>
        <v>243802707</v>
      </c>
      <c r="AB22" s="12">
        <f t="shared" si="8"/>
        <v>7875</v>
      </c>
      <c r="AC22" s="35">
        <v>251678</v>
      </c>
      <c r="AD22" s="113">
        <f t="shared" si="9"/>
        <v>310</v>
      </c>
      <c r="AE22" s="113">
        <f t="shared" si="10"/>
        <v>251988</v>
      </c>
      <c r="AF22" s="113">
        <f t="shared" si="11"/>
        <v>74</v>
      </c>
      <c r="AG22" s="113">
        <f t="shared" si="12"/>
        <v>252062</v>
      </c>
      <c r="AH22" s="113">
        <f t="shared" si="13"/>
        <v>148</v>
      </c>
      <c r="AI22" s="113">
        <f t="shared" si="14"/>
        <v>252210</v>
      </c>
      <c r="AJ22" s="113">
        <f t="shared" si="15"/>
        <v>459</v>
      </c>
      <c r="AK22" s="125">
        <f t="shared" si="16"/>
        <v>252669</v>
      </c>
    </row>
    <row r="23" spans="1:37" x14ac:dyDescent="0.2">
      <c r="A23" s="468" t="s">
        <v>55</v>
      </c>
      <c r="B23" s="469"/>
      <c r="C23" s="50"/>
      <c r="D23" s="47"/>
      <c r="E23" s="47"/>
      <c r="F23" s="47"/>
      <c r="G23" s="12">
        <f t="shared" si="1"/>
        <v>0</v>
      </c>
      <c r="H23" s="12"/>
      <c r="I23" s="12">
        <f t="shared" si="2"/>
        <v>0</v>
      </c>
      <c r="J23" s="12"/>
      <c r="K23" s="12">
        <f t="shared" si="3"/>
        <v>0</v>
      </c>
      <c r="L23" s="12"/>
      <c r="M23" s="105">
        <f t="shared" si="4"/>
        <v>0</v>
      </c>
      <c r="N23" s="50"/>
      <c r="O23" s="96"/>
      <c r="P23" s="96"/>
      <c r="Q23" s="96"/>
      <c r="R23" s="263">
        <f t="shared" si="5"/>
        <v>0</v>
      </c>
      <c r="S23" s="299"/>
      <c r="T23" s="12"/>
      <c r="U23" s="12">
        <f t="shared" si="6"/>
        <v>0</v>
      </c>
      <c r="V23" s="12"/>
      <c r="W23" s="13">
        <f t="shared" si="7"/>
        <v>0</v>
      </c>
      <c r="X23" s="50"/>
      <c r="Y23" s="47"/>
      <c r="Z23" s="301"/>
      <c r="AA23" s="50"/>
      <c r="AB23" s="12">
        <f t="shared" si="8"/>
        <v>0</v>
      </c>
      <c r="AC23" s="12"/>
      <c r="AD23" s="113">
        <f t="shared" si="9"/>
        <v>0</v>
      </c>
      <c r="AE23" s="113">
        <f t="shared" si="10"/>
        <v>0</v>
      </c>
      <c r="AF23" s="113">
        <f t="shared" si="11"/>
        <v>0</v>
      </c>
      <c r="AG23" s="113">
        <f t="shared" si="12"/>
        <v>0</v>
      </c>
      <c r="AH23" s="113">
        <f t="shared" si="13"/>
        <v>0</v>
      </c>
      <c r="AI23" s="113">
        <f t="shared" si="14"/>
        <v>0</v>
      </c>
      <c r="AJ23" s="113">
        <f t="shared" si="15"/>
        <v>0</v>
      </c>
      <c r="AK23" s="125">
        <f t="shared" si="16"/>
        <v>0</v>
      </c>
    </row>
    <row r="24" spans="1:37" x14ac:dyDescent="0.2">
      <c r="A24" s="286" t="s">
        <v>17</v>
      </c>
      <c r="B24" s="65" t="s">
        <v>78</v>
      </c>
      <c r="C24" s="50"/>
      <c r="D24" s="47"/>
      <c r="E24" s="12"/>
      <c r="F24" s="12"/>
      <c r="G24" s="12">
        <f t="shared" si="1"/>
        <v>0</v>
      </c>
      <c r="H24" s="12"/>
      <c r="I24" s="12">
        <f t="shared" si="2"/>
        <v>0</v>
      </c>
      <c r="J24" s="12"/>
      <c r="K24" s="12">
        <f t="shared" si="3"/>
        <v>0</v>
      </c>
      <c r="L24" s="12"/>
      <c r="M24" s="105">
        <f t="shared" si="4"/>
        <v>0</v>
      </c>
      <c r="N24" s="50">
        <f>'[1]2016 ktgv bevétel_02'!$I$19</f>
        <v>0</v>
      </c>
      <c r="O24" s="96"/>
      <c r="P24" s="96"/>
      <c r="Q24" s="96"/>
      <c r="R24" s="263">
        <f t="shared" si="5"/>
        <v>0</v>
      </c>
      <c r="S24" s="299">
        <v>0</v>
      </c>
      <c r="T24" s="12">
        <v>4045</v>
      </c>
      <c r="U24" s="12">
        <f t="shared" si="6"/>
        <v>4045</v>
      </c>
      <c r="V24" s="12"/>
      <c r="W24" s="13">
        <f t="shared" si="7"/>
        <v>4045</v>
      </c>
      <c r="X24" s="50">
        <v>0</v>
      </c>
      <c r="Y24" s="47"/>
      <c r="Z24" s="301"/>
      <c r="AA24" s="50">
        <f t="shared" ref="AA24:AA33" si="20">X24+S24+N24+C24</f>
        <v>0</v>
      </c>
      <c r="AB24" s="12">
        <f t="shared" si="8"/>
        <v>4045</v>
      </c>
      <c r="AC24" s="12">
        <v>4045</v>
      </c>
      <c r="AD24" s="113">
        <f t="shared" si="9"/>
        <v>0</v>
      </c>
      <c r="AE24" s="113">
        <f t="shared" si="10"/>
        <v>4045</v>
      </c>
      <c r="AF24" s="113">
        <f t="shared" si="11"/>
        <v>0</v>
      </c>
      <c r="AG24" s="113">
        <f t="shared" si="12"/>
        <v>4045</v>
      </c>
      <c r="AH24" s="113">
        <f t="shared" si="13"/>
        <v>0</v>
      </c>
      <c r="AI24" s="113">
        <f t="shared" si="14"/>
        <v>4045</v>
      </c>
      <c r="AJ24" s="113">
        <f t="shared" si="15"/>
        <v>0</v>
      </c>
      <c r="AK24" s="125">
        <f t="shared" si="16"/>
        <v>4045</v>
      </c>
    </row>
    <row r="25" spans="1:37" x14ac:dyDescent="0.2">
      <c r="A25" s="286" t="s">
        <v>18</v>
      </c>
      <c r="B25" s="67" t="s">
        <v>79</v>
      </c>
      <c r="C25" s="50"/>
      <c r="D25" s="49"/>
      <c r="E25" s="33"/>
      <c r="F25" s="33"/>
      <c r="G25" s="12">
        <f t="shared" si="1"/>
        <v>0</v>
      </c>
      <c r="H25" s="12"/>
      <c r="I25" s="12">
        <f t="shared" si="2"/>
        <v>0</v>
      </c>
      <c r="J25" s="12"/>
      <c r="K25" s="12">
        <f t="shared" si="3"/>
        <v>0</v>
      </c>
      <c r="L25" s="12"/>
      <c r="M25" s="105">
        <f t="shared" si="4"/>
        <v>0</v>
      </c>
      <c r="N25" s="124">
        <v>0</v>
      </c>
      <c r="O25" s="97"/>
      <c r="P25" s="97"/>
      <c r="Q25" s="97"/>
      <c r="R25" s="263">
        <f t="shared" si="5"/>
        <v>0</v>
      </c>
      <c r="S25" s="300">
        <v>0</v>
      </c>
      <c r="T25" s="33"/>
      <c r="U25" s="12">
        <f t="shared" si="6"/>
        <v>0</v>
      </c>
      <c r="V25" s="12"/>
      <c r="W25" s="13">
        <f t="shared" si="7"/>
        <v>0</v>
      </c>
      <c r="X25" s="124">
        <v>0</v>
      </c>
      <c r="Y25" s="49"/>
      <c r="Z25" s="302"/>
      <c r="AA25" s="50">
        <f t="shared" si="20"/>
        <v>0</v>
      </c>
      <c r="AB25" s="12">
        <f t="shared" si="8"/>
        <v>0</v>
      </c>
      <c r="AC25" s="33"/>
      <c r="AD25" s="113">
        <f t="shared" si="9"/>
        <v>0</v>
      </c>
      <c r="AE25" s="113">
        <f t="shared" si="10"/>
        <v>0</v>
      </c>
      <c r="AF25" s="113">
        <f t="shared" si="11"/>
        <v>0</v>
      </c>
      <c r="AG25" s="113">
        <f t="shared" si="12"/>
        <v>0</v>
      </c>
      <c r="AH25" s="113">
        <f t="shared" si="13"/>
        <v>0</v>
      </c>
      <c r="AI25" s="113">
        <f t="shared" si="14"/>
        <v>0</v>
      </c>
      <c r="AJ25" s="113">
        <f t="shared" si="15"/>
        <v>0</v>
      </c>
      <c r="AK25" s="125">
        <f t="shared" si="16"/>
        <v>0</v>
      </c>
    </row>
    <row r="26" spans="1:37" x14ac:dyDescent="0.2">
      <c r="A26" s="286" t="s">
        <v>19</v>
      </c>
      <c r="B26" s="65" t="s">
        <v>40</v>
      </c>
      <c r="C26" s="50">
        <v>150000</v>
      </c>
      <c r="D26" s="12"/>
      <c r="E26" s="12">
        <v>150</v>
      </c>
      <c r="F26" s="12"/>
      <c r="G26" s="12">
        <f t="shared" si="1"/>
        <v>150</v>
      </c>
      <c r="H26" s="12"/>
      <c r="I26" s="12">
        <f t="shared" si="2"/>
        <v>150</v>
      </c>
      <c r="J26" s="12"/>
      <c r="K26" s="12">
        <f t="shared" si="3"/>
        <v>150</v>
      </c>
      <c r="L26" s="12"/>
      <c r="M26" s="105">
        <f t="shared" si="4"/>
        <v>150</v>
      </c>
      <c r="N26" s="50">
        <f>'[1]2016 ktgv bevétel_02'!$I$43</f>
        <v>0</v>
      </c>
      <c r="O26" s="96"/>
      <c r="P26" s="96"/>
      <c r="Q26" s="96"/>
      <c r="R26" s="263">
        <f t="shared" si="5"/>
        <v>0</v>
      </c>
      <c r="S26" s="299">
        <v>0</v>
      </c>
      <c r="T26" s="12"/>
      <c r="U26" s="12">
        <f t="shared" si="6"/>
        <v>0</v>
      </c>
      <c r="V26" s="12"/>
      <c r="W26" s="13">
        <f t="shared" si="7"/>
        <v>0</v>
      </c>
      <c r="X26" s="50">
        <v>0</v>
      </c>
      <c r="Y26" s="47"/>
      <c r="Z26" s="301"/>
      <c r="AA26" s="50">
        <f t="shared" si="20"/>
        <v>150000</v>
      </c>
      <c r="AB26" s="12">
        <f t="shared" si="8"/>
        <v>0</v>
      </c>
      <c r="AC26" s="12">
        <v>150</v>
      </c>
      <c r="AD26" s="113">
        <f t="shared" si="9"/>
        <v>0</v>
      </c>
      <c r="AE26" s="113">
        <f t="shared" si="10"/>
        <v>150</v>
      </c>
      <c r="AF26" s="113">
        <f t="shared" si="11"/>
        <v>0</v>
      </c>
      <c r="AG26" s="113">
        <f t="shared" si="12"/>
        <v>150</v>
      </c>
      <c r="AH26" s="113">
        <f t="shared" si="13"/>
        <v>0</v>
      </c>
      <c r="AI26" s="113">
        <f t="shared" si="14"/>
        <v>150</v>
      </c>
      <c r="AJ26" s="113">
        <f t="shared" si="15"/>
        <v>0</v>
      </c>
      <c r="AK26" s="125">
        <f t="shared" si="16"/>
        <v>150</v>
      </c>
    </row>
    <row r="27" spans="1:37" x14ac:dyDescent="0.2">
      <c r="A27" s="286" t="s">
        <v>20</v>
      </c>
      <c r="B27" s="65" t="s">
        <v>49</v>
      </c>
      <c r="C27" s="50">
        <v>2289000</v>
      </c>
      <c r="D27" s="12">
        <v>242</v>
      </c>
      <c r="E27" s="12">
        <v>2531</v>
      </c>
      <c r="F27" s="12">
        <v>160</v>
      </c>
      <c r="G27" s="12">
        <f t="shared" si="1"/>
        <v>2691</v>
      </c>
      <c r="H27" s="12"/>
      <c r="I27" s="12">
        <f t="shared" si="2"/>
        <v>2691</v>
      </c>
      <c r="J27" s="12"/>
      <c r="K27" s="12">
        <f t="shared" si="3"/>
        <v>2691</v>
      </c>
      <c r="L27" s="12">
        <v>0</v>
      </c>
      <c r="M27" s="105">
        <f t="shared" si="4"/>
        <v>2691</v>
      </c>
      <c r="N27" s="50">
        <v>1333500</v>
      </c>
      <c r="O27" s="96"/>
      <c r="P27" s="96">
        <v>1334</v>
      </c>
      <c r="Q27" s="96">
        <v>312</v>
      </c>
      <c r="R27" s="263">
        <f t="shared" si="5"/>
        <v>1646</v>
      </c>
      <c r="S27" s="299">
        <v>0</v>
      </c>
      <c r="T27" s="12"/>
      <c r="U27" s="12">
        <f t="shared" si="6"/>
        <v>0</v>
      </c>
      <c r="V27" s="12"/>
      <c r="W27" s="13">
        <f t="shared" si="7"/>
        <v>0</v>
      </c>
      <c r="X27" s="50">
        <v>0</v>
      </c>
      <c r="Y27" s="47"/>
      <c r="Z27" s="301"/>
      <c r="AA27" s="50">
        <f t="shared" si="20"/>
        <v>3622500</v>
      </c>
      <c r="AB27" s="12">
        <f t="shared" si="8"/>
        <v>242</v>
      </c>
      <c r="AC27" s="12">
        <v>3865</v>
      </c>
      <c r="AD27" s="113">
        <f t="shared" si="9"/>
        <v>160</v>
      </c>
      <c r="AE27" s="113">
        <f t="shared" si="10"/>
        <v>4025</v>
      </c>
      <c r="AF27" s="113">
        <f t="shared" si="11"/>
        <v>0</v>
      </c>
      <c r="AG27" s="113">
        <f t="shared" si="12"/>
        <v>4025</v>
      </c>
      <c r="AH27" s="113">
        <f t="shared" si="13"/>
        <v>0</v>
      </c>
      <c r="AI27" s="113">
        <f t="shared" si="14"/>
        <v>4025</v>
      </c>
      <c r="AJ27" s="113">
        <f t="shared" si="15"/>
        <v>312</v>
      </c>
      <c r="AK27" s="125">
        <f t="shared" si="16"/>
        <v>4337</v>
      </c>
    </row>
    <row r="28" spans="1:37" x14ac:dyDescent="0.2">
      <c r="A28" s="286" t="s">
        <v>21</v>
      </c>
      <c r="B28" s="65" t="s">
        <v>50</v>
      </c>
      <c r="C28" s="50"/>
      <c r="D28" s="12">
        <v>0</v>
      </c>
      <c r="E28" s="12">
        <v>0</v>
      </c>
      <c r="F28" s="12"/>
      <c r="G28" s="12">
        <f t="shared" si="1"/>
        <v>0</v>
      </c>
      <c r="H28" s="12"/>
      <c r="I28" s="12">
        <f t="shared" si="2"/>
        <v>0</v>
      </c>
      <c r="J28" s="12"/>
      <c r="K28" s="12">
        <f t="shared" si="3"/>
        <v>0</v>
      </c>
      <c r="L28" s="12"/>
      <c r="M28" s="105">
        <f t="shared" si="4"/>
        <v>0</v>
      </c>
      <c r="N28" s="50">
        <f>'[1]2016 ktgv bevétel_02'!$I$85</f>
        <v>0</v>
      </c>
      <c r="O28" s="96"/>
      <c r="P28" s="96"/>
      <c r="Q28" s="96"/>
      <c r="R28" s="263">
        <f t="shared" si="5"/>
        <v>0</v>
      </c>
      <c r="S28" s="299">
        <v>0</v>
      </c>
      <c r="T28" s="12"/>
      <c r="U28" s="12">
        <f t="shared" si="6"/>
        <v>0</v>
      </c>
      <c r="V28" s="12"/>
      <c r="W28" s="13">
        <f t="shared" si="7"/>
        <v>0</v>
      </c>
      <c r="X28" s="50">
        <v>0</v>
      </c>
      <c r="Y28" s="47"/>
      <c r="Z28" s="301"/>
      <c r="AA28" s="50">
        <f t="shared" si="20"/>
        <v>0</v>
      </c>
      <c r="AB28" s="12"/>
      <c r="AC28" s="12"/>
      <c r="AD28" s="113">
        <f t="shared" si="9"/>
        <v>0</v>
      </c>
      <c r="AE28" s="113">
        <f t="shared" si="10"/>
        <v>0</v>
      </c>
      <c r="AF28" s="113">
        <f t="shared" si="11"/>
        <v>0</v>
      </c>
      <c r="AG28" s="113">
        <f t="shared" si="12"/>
        <v>0</v>
      </c>
      <c r="AH28" s="113">
        <f t="shared" si="13"/>
        <v>0</v>
      </c>
      <c r="AI28" s="113">
        <f t="shared" si="14"/>
        <v>0</v>
      </c>
      <c r="AJ28" s="113">
        <f t="shared" si="15"/>
        <v>0</v>
      </c>
      <c r="AK28" s="125">
        <f t="shared" si="16"/>
        <v>0</v>
      </c>
    </row>
    <row r="29" spans="1:37" s="7" customFormat="1" x14ac:dyDescent="0.2">
      <c r="A29" s="20" t="s">
        <v>22</v>
      </c>
      <c r="B29" s="68" t="s">
        <v>51</v>
      </c>
      <c r="C29" s="118">
        <f>C26+C27</f>
        <v>2439000</v>
      </c>
      <c r="D29" s="35">
        <f t="shared" ref="D29:Z29" si="21">D24+D26+D27+D28</f>
        <v>242</v>
      </c>
      <c r="E29" s="12">
        <v>2681</v>
      </c>
      <c r="F29" s="12">
        <f>SUM(F26:F28)</f>
        <v>160</v>
      </c>
      <c r="G29" s="12">
        <f t="shared" si="1"/>
        <v>2841</v>
      </c>
      <c r="H29" s="12"/>
      <c r="I29" s="12">
        <f t="shared" si="2"/>
        <v>2841</v>
      </c>
      <c r="J29" s="12"/>
      <c r="K29" s="12">
        <f t="shared" si="3"/>
        <v>2841</v>
      </c>
      <c r="L29" s="12">
        <v>0</v>
      </c>
      <c r="M29" s="105">
        <f t="shared" si="4"/>
        <v>2841</v>
      </c>
      <c r="N29" s="118">
        <f t="shared" si="21"/>
        <v>1333500</v>
      </c>
      <c r="O29" s="98">
        <f t="shared" si="21"/>
        <v>0</v>
      </c>
      <c r="P29" s="98">
        <f t="shared" si="21"/>
        <v>1334</v>
      </c>
      <c r="Q29" s="98">
        <v>312</v>
      </c>
      <c r="R29" s="263">
        <f t="shared" si="5"/>
        <v>1646</v>
      </c>
      <c r="S29" s="128">
        <f t="shared" si="21"/>
        <v>0</v>
      </c>
      <c r="T29" s="35">
        <f t="shared" si="21"/>
        <v>4045</v>
      </c>
      <c r="U29" s="12">
        <f t="shared" si="6"/>
        <v>4045</v>
      </c>
      <c r="V29" s="12"/>
      <c r="W29" s="13">
        <f t="shared" si="7"/>
        <v>4045</v>
      </c>
      <c r="X29" s="118">
        <f t="shared" si="21"/>
        <v>0</v>
      </c>
      <c r="Y29" s="48">
        <f t="shared" si="21"/>
        <v>0</v>
      </c>
      <c r="Z29" s="260">
        <f t="shared" si="21"/>
        <v>0</v>
      </c>
      <c r="AA29" s="118">
        <f t="shared" si="20"/>
        <v>3772500</v>
      </c>
      <c r="AB29" s="12">
        <v>4287</v>
      </c>
      <c r="AC29" s="35">
        <v>8060</v>
      </c>
      <c r="AD29" s="113">
        <f t="shared" si="9"/>
        <v>160</v>
      </c>
      <c r="AE29" s="113">
        <f t="shared" si="10"/>
        <v>8220</v>
      </c>
      <c r="AF29" s="113">
        <f t="shared" si="11"/>
        <v>0</v>
      </c>
      <c r="AG29" s="113">
        <f t="shared" si="12"/>
        <v>8220</v>
      </c>
      <c r="AH29" s="113">
        <f t="shared" si="13"/>
        <v>0</v>
      </c>
      <c r="AI29" s="113">
        <f t="shared" si="14"/>
        <v>8220</v>
      </c>
      <c r="AJ29" s="113">
        <f t="shared" si="15"/>
        <v>312</v>
      </c>
      <c r="AK29" s="125">
        <f t="shared" si="16"/>
        <v>8532</v>
      </c>
    </row>
    <row r="30" spans="1:37" s="7" customFormat="1" x14ac:dyDescent="0.2">
      <c r="A30" s="286" t="s">
        <v>23</v>
      </c>
      <c r="B30" s="65" t="s">
        <v>80</v>
      </c>
      <c r="C30" s="50"/>
      <c r="D30" s="12"/>
      <c r="E30" s="12">
        <v>0</v>
      </c>
      <c r="F30" s="12"/>
      <c r="G30" s="12">
        <f t="shared" si="1"/>
        <v>0</v>
      </c>
      <c r="H30" s="12"/>
      <c r="I30" s="12">
        <f t="shared" si="2"/>
        <v>0</v>
      </c>
      <c r="J30" s="12"/>
      <c r="K30" s="12">
        <f t="shared" si="3"/>
        <v>0</v>
      </c>
      <c r="L30" s="12"/>
      <c r="M30" s="105">
        <f t="shared" si="4"/>
        <v>0</v>
      </c>
      <c r="N30" s="50">
        <f>'[1]2016 ktgv bevétel_02'!$I$29</f>
        <v>0</v>
      </c>
      <c r="O30" s="96"/>
      <c r="P30" s="96"/>
      <c r="Q30" s="96"/>
      <c r="R30" s="263">
        <f t="shared" si="5"/>
        <v>0</v>
      </c>
      <c r="S30" s="299">
        <v>0</v>
      </c>
      <c r="T30" s="12"/>
      <c r="U30" s="12">
        <f t="shared" si="6"/>
        <v>0</v>
      </c>
      <c r="V30" s="12"/>
      <c r="W30" s="13">
        <f t="shared" si="7"/>
        <v>0</v>
      </c>
      <c r="X30" s="50">
        <v>0</v>
      </c>
      <c r="Y30" s="47"/>
      <c r="Z30" s="301"/>
      <c r="AA30" s="50">
        <f t="shared" si="20"/>
        <v>0</v>
      </c>
      <c r="AB30" s="12">
        <f t="shared" si="8"/>
        <v>0</v>
      </c>
      <c r="AC30" s="12"/>
      <c r="AD30" s="113">
        <f t="shared" si="9"/>
        <v>0</v>
      </c>
      <c r="AE30" s="113">
        <f t="shared" si="10"/>
        <v>0</v>
      </c>
      <c r="AF30" s="113">
        <f t="shared" si="11"/>
        <v>0</v>
      </c>
      <c r="AG30" s="113">
        <f t="shared" si="12"/>
        <v>0</v>
      </c>
      <c r="AH30" s="113">
        <f t="shared" si="13"/>
        <v>0</v>
      </c>
      <c r="AI30" s="113">
        <f t="shared" si="14"/>
        <v>0</v>
      </c>
      <c r="AJ30" s="113">
        <f t="shared" si="15"/>
        <v>0</v>
      </c>
      <c r="AK30" s="125">
        <f t="shared" si="16"/>
        <v>0</v>
      </c>
    </row>
    <row r="31" spans="1:37" s="7" customFormat="1" x14ac:dyDescent="0.2">
      <c r="A31" s="286" t="s">
        <v>24</v>
      </c>
      <c r="B31" s="65" t="s">
        <v>52</v>
      </c>
      <c r="C31" s="50"/>
      <c r="D31" s="12">
        <v>44</v>
      </c>
      <c r="E31" s="12">
        <v>44</v>
      </c>
      <c r="F31" s="12"/>
      <c r="G31" s="12">
        <f t="shared" si="1"/>
        <v>44</v>
      </c>
      <c r="H31" s="12"/>
      <c r="I31" s="12">
        <f t="shared" si="2"/>
        <v>44</v>
      </c>
      <c r="J31" s="12"/>
      <c r="K31" s="12">
        <f t="shared" si="3"/>
        <v>44</v>
      </c>
      <c r="L31" s="12"/>
      <c r="M31" s="105">
        <f t="shared" si="4"/>
        <v>44</v>
      </c>
      <c r="N31" s="50">
        <f>'[1]2016 ktgv bevétel_02'!$I$75</f>
        <v>0</v>
      </c>
      <c r="O31" s="96"/>
      <c r="P31" s="96"/>
      <c r="Q31" s="96"/>
      <c r="R31" s="263">
        <f t="shared" si="5"/>
        <v>0</v>
      </c>
      <c r="S31" s="299">
        <v>0</v>
      </c>
      <c r="T31" s="12"/>
      <c r="U31" s="12">
        <f t="shared" si="6"/>
        <v>0</v>
      </c>
      <c r="V31" s="12"/>
      <c r="W31" s="13">
        <f t="shared" si="7"/>
        <v>0</v>
      </c>
      <c r="X31" s="50">
        <v>0</v>
      </c>
      <c r="Y31" s="47"/>
      <c r="Z31" s="301"/>
      <c r="AA31" s="50">
        <f t="shared" si="20"/>
        <v>0</v>
      </c>
      <c r="AB31" s="12">
        <f t="shared" si="8"/>
        <v>44</v>
      </c>
      <c r="AC31" s="12">
        <v>44</v>
      </c>
      <c r="AD31" s="113">
        <f t="shared" si="9"/>
        <v>0</v>
      </c>
      <c r="AE31" s="113">
        <f t="shared" si="10"/>
        <v>44</v>
      </c>
      <c r="AF31" s="113">
        <f t="shared" si="11"/>
        <v>0</v>
      </c>
      <c r="AG31" s="113">
        <f t="shared" si="12"/>
        <v>44</v>
      </c>
      <c r="AH31" s="113">
        <f t="shared" si="13"/>
        <v>0</v>
      </c>
      <c r="AI31" s="113">
        <f t="shared" si="14"/>
        <v>44</v>
      </c>
      <c r="AJ31" s="113">
        <f t="shared" si="15"/>
        <v>0</v>
      </c>
      <c r="AK31" s="125">
        <f t="shared" si="16"/>
        <v>44</v>
      </c>
    </row>
    <row r="32" spans="1:37" x14ac:dyDescent="0.2">
      <c r="A32" s="286" t="s">
        <v>25</v>
      </c>
      <c r="B32" s="65" t="s">
        <v>53</v>
      </c>
      <c r="C32" s="50"/>
      <c r="D32" s="12"/>
      <c r="E32" s="12">
        <v>0</v>
      </c>
      <c r="F32" s="12"/>
      <c r="G32" s="12">
        <f t="shared" si="1"/>
        <v>0</v>
      </c>
      <c r="H32" s="12"/>
      <c r="I32" s="12">
        <f t="shared" si="2"/>
        <v>0</v>
      </c>
      <c r="J32" s="12"/>
      <c r="K32" s="12">
        <f t="shared" si="3"/>
        <v>0</v>
      </c>
      <c r="L32" s="12"/>
      <c r="M32" s="105">
        <f t="shared" si="4"/>
        <v>0</v>
      </c>
      <c r="N32" s="50">
        <f>'[1]2016 ktgv bevétel_02'!$I$95</f>
        <v>0</v>
      </c>
      <c r="O32" s="96"/>
      <c r="P32" s="96"/>
      <c r="Q32" s="96"/>
      <c r="R32" s="263">
        <f t="shared" si="5"/>
        <v>0</v>
      </c>
      <c r="S32" s="299">
        <f>0</f>
        <v>0</v>
      </c>
      <c r="T32" s="12"/>
      <c r="U32" s="12">
        <f t="shared" si="6"/>
        <v>0</v>
      </c>
      <c r="V32" s="12"/>
      <c r="W32" s="13">
        <f t="shared" si="7"/>
        <v>0</v>
      </c>
      <c r="X32" s="50">
        <v>0</v>
      </c>
      <c r="Y32" s="47"/>
      <c r="Z32" s="301"/>
      <c r="AA32" s="50">
        <f t="shared" si="20"/>
        <v>0</v>
      </c>
      <c r="AB32" s="12">
        <f t="shared" si="8"/>
        <v>0</v>
      </c>
      <c r="AC32" s="12"/>
      <c r="AD32" s="113">
        <f t="shared" si="9"/>
        <v>0</v>
      </c>
      <c r="AE32" s="113">
        <f t="shared" si="10"/>
        <v>0</v>
      </c>
      <c r="AF32" s="113">
        <f t="shared" si="11"/>
        <v>0</v>
      </c>
      <c r="AG32" s="113">
        <f t="shared" si="12"/>
        <v>0</v>
      </c>
      <c r="AH32" s="113">
        <f t="shared" si="13"/>
        <v>0</v>
      </c>
      <c r="AI32" s="113">
        <f t="shared" si="14"/>
        <v>0</v>
      </c>
      <c r="AJ32" s="113">
        <f t="shared" si="15"/>
        <v>0</v>
      </c>
      <c r="AK32" s="125">
        <f t="shared" si="16"/>
        <v>0</v>
      </c>
    </row>
    <row r="33" spans="1:44" s="7" customFormat="1" x14ac:dyDescent="0.2">
      <c r="A33" s="20" t="s">
        <v>26</v>
      </c>
      <c r="B33" s="68" t="s">
        <v>54</v>
      </c>
      <c r="C33" s="241"/>
      <c r="D33" s="35">
        <f t="shared" ref="D33:Z33" si="22">D30+D31+D32</f>
        <v>44</v>
      </c>
      <c r="E33" s="12">
        <v>44</v>
      </c>
      <c r="F33" s="12"/>
      <c r="G33" s="12">
        <f t="shared" si="1"/>
        <v>44</v>
      </c>
      <c r="H33" s="12"/>
      <c r="I33" s="12">
        <f t="shared" si="2"/>
        <v>44</v>
      </c>
      <c r="J33" s="12"/>
      <c r="K33" s="12">
        <f t="shared" si="3"/>
        <v>44</v>
      </c>
      <c r="L33" s="12"/>
      <c r="M33" s="105">
        <f t="shared" si="4"/>
        <v>44</v>
      </c>
      <c r="N33" s="118">
        <f t="shared" si="22"/>
        <v>0</v>
      </c>
      <c r="O33" s="98">
        <f t="shared" si="22"/>
        <v>0</v>
      </c>
      <c r="P33" s="98">
        <f t="shared" si="22"/>
        <v>0</v>
      </c>
      <c r="Q33" s="98"/>
      <c r="R33" s="263">
        <f t="shared" si="5"/>
        <v>0</v>
      </c>
      <c r="S33" s="128">
        <f t="shared" si="22"/>
        <v>0</v>
      </c>
      <c r="T33" s="35">
        <f t="shared" si="22"/>
        <v>0</v>
      </c>
      <c r="U33" s="12">
        <f t="shared" si="6"/>
        <v>0</v>
      </c>
      <c r="V33" s="12"/>
      <c r="W33" s="13">
        <f t="shared" si="7"/>
        <v>0</v>
      </c>
      <c r="X33" s="118">
        <f t="shared" si="22"/>
        <v>0</v>
      </c>
      <c r="Y33" s="48">
        <f t="shared" si="22"/>
        <v>0</v>
      </c>
      <c r="Z33" s="260">
        <f t="shared" si="22"/>
        <v>0</v>
      </c>
      <c r="AA33" s="118">
        <f t="shared" si="20"/>
        <v>0</v>
      </c>
      <c r="AB33" s="12">
        <f t="shared" si="8"/>
        <v>44</v>
      </c>
      <c r="AC33" s="35">
        <v>44</v>
      </c>
      <c r="AD33" s="113">
        <f t="shared" si="9"/>
        <v>0</v>
      </c>
      <c r="AE33" s="113">
        <f t="shared" si="10"/>
        <v>44</v>
      </c>
      <c r="AF33" s="113">
        <f t="shared" si="11"/>
        <v>0</v>
      </c>
      <c r="AG33" s="113">
        <f t="shared" si="12"/>
        <v>44</v>
      </c>
      <c r="AH33" s="113">
        <f t="shared" si="13"/>
        <v>0</v>
      </c>
      <c r="AI33" s="113">
        <f t="shared" si="14"/>
        <v>44</v>
      </c>
      <c r="AJ33" s="113">
        <f t="shared" si="15"/>
        <v>0</v>
      </c>
      <c r="AK33" s="125">
        <f t="shared" si="16"/>
        <v>44</v>
      </c>
    </row>
    <row r="34" spans="1:44" s="7" customFormat="1" x14ac:dyDescent="0.2">
      <c r="A34" s="20" t="s">
        <v>27</v>
      </c>
      <c r="B34" s="68" t="s">
        <v>74</v>
      </c>
      <c r="C34" s="241">
        <f>C35+C36+C37</f>
        <v>240983</v>
      </c>
      <c r="D34" s="35">
        <f t="shared" ref="D34:Z34" si="23">D35+D36+D37</f>
        <v>3544</v>
      </c>
      <c r="E34" s="12">
        <v>244527</v>
      </c>
      <c r="F34" s="12">
        <v>150</v>
      </c>
      <c r="G34" s="12">
        <v>244677</v>
      </c>
      <c r="H34" s="12">
        <v>74</v>
      </c>
      <c r="I34" s="12">
        <f t="shared" si="2"/>
        <v>244751</v>
      </c>
      <c r="J34" s="12">
        <v>148</v>
      </c>
      <c r="K34" s="12">
        <f t="shared" si="3"/>
        <v>244899</v>
      </c>
      <c r="L34" s="12">
        <v>115</v>
      </c>
      <c r="M34" s="105">
        <f t="shared" si="4"/>
        <v>245014</v>
      </c>
      <c r="N34" s="241">
        <v>-953</v>
      </c>
      <c r="O34" s="35">
        <f t="shared" si="23"/>
        <v>0</v>
      </c>
      <c r="P34" s="35">
        <v>-953</v>
      </c>
      <c r="Q34" s="35">
        <v>32</v>
      </c>
      <c r="R34" s="263">
        <f t="shared" si="5"/>
        <v>-921</v>
      </c>
      <c r="S34" s="257">
        <f t="shared" si="23"/>
        <v>0</v>
      </c>
      <c r="T34" s="35">
        <f t="shared" si="23"/>
        <v>0</v>
      </c>
      <c r="U34" s="12">
        <f t="shared" si="6"/>
        <v>0</v>
      </c>
      <c r="V34" s="12"/>
      <c r="W34" s="13">
        <f t="shared" si="7"/>
        <v>0</v>
      </c>
      <c r="X34" s="118">
        <v>0</v>
      </c>
      <c r="Y34" s="48">
        <f t="shared" si="23"/>
        <v>0</v>
      </c>
      <c r="Z34" s="260">
        <f t="shared" si="23"/>
        <v>0</v>
      </c>
      <c r="AA34" s="118">
        <v>240030000</v>
      </c>
      <c r="AB34" s="12">
        <f t="shared" si="8"/>
        <v>3544</v>
      </c>
      <c r="AC34" s="35">
        <v>243574</v>
      </c>
      <c r="AD34" s="113">
        <f t="shared" si="9"/>
        <v>150</v>
      </c>
      <c r="AE34" s="113">
        <f t="shared" si="10"/>
        <v>243724</v>
      </c>
      <c r="AF34" s="113">
        <f t="shared" si="11"/>
        <v>74</v>
      </c>
      <c r="AG34" s="113">
        <f t="shared" si="12"/>
        <v>243798</v>
      </c>
      <c r="AH34" s="113">
        <f t="shared" si="13"/>
        <v>148</v>
      </c>
      <c r="AI34" s="113">
        <f t="shared" si="14"/>
        <v>243946</v>
      </c>
      <c r="AJ34" s="113">
        <f t="shared" si="15"/>
        <v>147</v>
      </c>
      <c r="AK34" s="125">
        <f t="shared" si="16"/>
        <v>244093</v>
      </c>
    </row>
    <row r="35" spans="1:44" x14ac:dyDescent="0.2">
      <c r="A35" s="286" t="s">
        <v>28</v>
      </c>
      <c r="B35" s="67" t="s">
        <v>75</v>
      </c>
      <c r="C35" s="102">
        <v>239983</v>
      </c>
      <c r="D35" s="33">
        <v>1800</v>
      </c>
      <c r="E35" s="12">
        <v>241783</v>
      </c>
      <c r="F35" s="12">
        <v>150</v>
      </c>
      <c r="G35" s="12">
        <f t="shared" si="1"/>
        <v>241933</v>
      </c>
      <c r="H35" s="12">
        <v>74</v>
      </c>
      <c r="I35" s="12">
        <f t="shared" si="2"/>
        <v>242007</v>
      </c>
      <c r="J35" s="12">
        <v>148</v>
      </c>
      <c r="K35" s="12">
        <f t="shared" si="3"/>
        <v>242155</v>
      </c>
      <c r="L35" s="12">
        <v>115</v>
      </c>
      <c r="M35" s="105">
        <f t="shared" si="4"/>
        <v>242270</v>
      </c>
      <c r="N35" s="244">
        <v>-953</v>
      </c>
      <c r="O35" s="33"/>
      <c r="P35" s="33">
        <v>-953</v>
      </c>
      <c r="Q35" s="33">
        <v>32</v>
      </c>
      <c r="R35" s="263">
        <f t="shared" si="5"/>
        <v>-921</v>
      </c>
      <c r="S35" s="258">
        <v>0</v>
      </c>
      <c r="T35" s="33"/>
      <c r="U35" s="12">
        <f t="shared" si="6"/>
        <v>0</v>
      </c>
      <c r="V35" s="12"/>
      <c r="W35" s="13">
        <f t="shared" si="7"/>
        <v>0</v>
      </c>
      <c r="X35" s="124">
        <v>0</v>
      </c>
      <c r="Y35" s="49"/>
      <c r="Z35" s="302"/>
      <c r="AA35" s="50">
        <v>239030000</v>
      </c>
      <c r="AB35" s="12">
        <f t="shared" si="8"/>
        <v>1800</v>
      </c>
      <c r="AC35" s="33">
        <v>240830</v>
      </c>
      <c r="AD35" s="113">
        <f t="shared" si="9"/>
        <v>150</v>
      </c>
      <c r="AE35" s="113">
        <f t="shared" si="10"/>
        <v>240980</v>
      </c>
      <c r="AF35" s="113">
        <f t="shared" si="11"/>
        <v>74</v>
      </c>
      <c r="AG35" s="113">
        <f t="shared" si="12"/>
        <v>241054</v>
      </c>
      <c r="AH35" s="113">
        <f t="shared" si="13"/>
        <v>148</v>
      </c>
      <c r="AI35" s="113">
        <f t="shared" si="14"/>
        <v>241202</v>
      </c>
      <c r="AJ35" s="113">
        <f t="shared" si="15"/>
        <v>147</v>
      </c>
      <c r="AK35" s="125">
        <f t="shared" si="16"/>
        <v>241349</v>
      </c>
    </row>
    <row r="36" spans="1:44" x14ac:dyDescent="0.2">
      <c r="A36" s="286" t="s">
        <v>29</v>
      </c>
      <c r="B36" s="67" t="s">
        <v>81</v>
      </c>
      <c r="C36" s="102">
        <v>1000</v>
      </c>
      <c r="D36" s="33">
        <v>1744</v>
      </c>
      <c r="E36" s="12">
        <v>2744</v>
      </c>
      <c r="F36" s="12"/>
      <c r="G36" s="12">
        <f t="shared" si="1"/>
        <v>2744</v>
      </c>
      <c r="H36" s="12"/>
      <c r="I36" s="12">
        <f t="shared" si="2"/>
        <v>2744</v>
      </c>
      <c r="J36" s="12"/>
      <c r="K36" s="12">
        <f t="shared" si="3"/>
        <v>2744</v>
      </c>
      <c r="L36" s="12"/>
      <c r="M36" s="105">
        <f t="shared" si="4"/>
        <v>2744</v>
      </c>
      <c r="N36" s="244">
        <v>0</v>
      </c>
      <c r="O36" s="33"/>
      <c r="P36" s="33"/>
      <c r="Q36" s="33"/>
      <c r="R36" s="263">
        <f t="shared" si="5"/>
        <v>0</v>
      </c>
      <c r="S36" s="258">
        <v>0</v>
      </c>
      <c r="T36" s="33"/>
      <c r="U36" s="12">
        <f t="shared" si="6"/>
        <v>0</v>
      </c>
      <c r="V36" s="12"/>
      <c r="W36" s="13">
        <f t="shared" si="7"/>
        <v>0</v>
      </c>
      <c r="X36" s="124">
        <v>0</v>
      </c>
      <c r="Y36" s="49"/>
      <c r="Z36" s="302"/>
      <c r="AA36" s="50">
        <v>1000000</v>
      </c>
      <c r="AB36" s="12">
        <f t="shared" si="8"/>
        <v>1744</v>
      </c>
      <c r="AC36" s="33">
        <v>2744</v>
      </c>
      <c r="AD36" s="113">
        <f t="shared" si="9"/>
        <v>0</v>
      </c>
      <c r="AE36" s="113">
        <f t="shared" si="10"/>
        <v>2744</v>
      </c>
      <c r="AF36" s="113">
        <f t="shared" si="11"/>
        <v>0</v>
      </c>
      <c r="AG36" s="113">
        <f t="shared" si="12"/>
        <v>2744</v>
      </c>
      <c r="AH36" s="113">
        <f t="shared" si="13"/>
        <v>0</v>
      </c>
      <c r="AI36" s="113">
        <f t="shared" si="14"/>
        <v>2744</v>
      </c>
      <c r="AJ36" s="113">
        <f t="shared" si="15"/>
        <v>0</v>
      </c>
      <c r="AK36" s="125">
        <f t="shared" si="16"/>
        <v>2744</v>
      </c>
    </row>
    <row r="37" spans="1:44" x14ac:dyDescent="0.2">
      <c r="A37" s="286" t="s">
        <v>30</v>
      </c>
      <c r="B37" s="67" t="s">
        <v>76</v>
      </c>
      <c r="C37" s="102"/>
      <c r="D37" s="33"/>
      <c r="E37" s="12"/>
      <c r="F37" s="12"/>
      <c r="G37" s="12">
        <f t="shared" si="1"/>
        <v>0</v>
      </c>
      <c r="H37" s="12"/>
      <c r="I37" s="12">
        <f t="shared" si="2"/>
        <v>0</v>
      </c>
      <c r="J37" s="12"/>
      <c r="K37" s="12">
        <f t="shared" si="3"/>
        <v>0</v>
      </c>
      <c r="L37" s="12"/>
      <c r="M37" s="105">
        <f t="shared" si="4"/>
        <v>0</v>
      </c>
      <c r="N37" s="244">
        <v>0</v>
      </c>
      <c r="O37" s="33"/>
      <c r="P37" s="33"/>
      <c r="Q37" s="33"/>
      <c r="R37" s="263">
        <f t="shared" si="5"/>
        <v>0</v>
      </c>
      <c r="S37" s="258">
        <v>0</v>
      </c>
      <c r="T37" s="33"/>
      <c r="U37" s="12">
        <f t="shared" si="6"/>
        <v>0</v>
      </c>
      <c r="V37" s="12"/>
      <c r="W37" s="13">
        <f t="shared" si="7"/>
        <v>0</v>
      </c>
      <c r="X37" s="124">
        <v>0</v>
      </c>
      <c r="Y37" s="49"/>
      <c r="Z37" s="302"/>
      <c r="AA37" s="50">
        <f>X37+S37+N37+C37</f>
        <v>0</v>
      </c>
      <c r="AB37" s="12">
        <f t="shared" si="8"/>
        <v>0</v>
      </c>
      <c r="AC37" s="33"/>
      <c r="AD37" s="113">
        <f t="shared" si="9"/>
        <v>0</v>
      </c>
      <c r="AE37" s="113">
        <f t="shared" si="10"/>
        <v>0</v>
      </c>
      <c r="AF37" s="113">
        <f t="shared" si="11"/>
        <v>0</v>
      </c>
      <c r="AG37" s="113">
        <f t="shared" si="12"/>
        <v>0</v>
      </c>
      <c r="AH37" s="113">
        <f t="shared" si="13"/>
        <v>0</v>
      </c>
      <c r="AI37" s="113">
        <f t="shared" si="14"/>
        <v>0</v>
      </c>
      <c r="AJ37" s="113">
        <f t="shared" si="15"/>
        <v>0</v>
      </c>
      <c r="AK37" s="125">
        <f t="shared" si="16"/>
        <v>0</v>
      </c>
    </row>
    <row r="38" spans="1:44" s="7" customFormat="1" ht="13.5" thickBot="1" x14ac:dyDescent="0.25">
      <c r="A38" s="20" t="s">
        <v>31</v>
      </c>
      <c r="B38" s="68" t="s">
        <v>56</v>
      </c>
      <c r="C38" s="241">
        <v>243422</v>
      </c>
      <c r="D38" s="35">
        <f t="shared" ref="D38:Z38" si="24">D29+D33+D34</f>
        <v>3830</v>
      </c>
      <c r="E38" s="12">
        <v>247252</v>
      </c>
      <c r="F38" s="12">
        <v>310</v>
      </c>
      <c r="G38" s="12">
        <v>247562</v>
      </c>
      <c r="H38" s="12">
        <v>74</v>
      </c>
      <c r="I38" s="12">
        <f t="shared" si="2"/>
        <v>247636</v>
      </c>
      <c r="J38" s="12">
        <v>148</v>
      </c>
      <c r="K38" s="12">
        <f t="shared" si="3"/>
        <v>247784</v>
      </c>
      <c r="L38" s="12">
        <v>115</v>
      </c>
      <c r="M38" s="105">
        <f t="shared" si="4"/>
        <v>247899</v>
      </c>
      <c r="N38" s="267">
        <v>381</v>
      </c>
      <c r="O38" s="19">
        <f t="shared" si="24"/>
        <v>0</v>
      </c>
      <c r="P38" s="19">
        <f t="shared" si="24"/>
        <v>381</v>
      </c>
      <c r="Q38" s="19">
        <v>344</v>
      </c>
      <c r="R38" s="263">
        <f t="shared" si="5"/>
        <v>725</v>
      </c>
      <c r="S38" s="307">
        <f t="shared" si="24"/>
        <v>0</v>
      </c>
      <c r="T38" s="19">
        <f t="shared" si="24"/>
        <v>4045</v>
      </c>
      <c r="U38" s="14">
        <f t="shared" si="6"/>
        <v>4045</v>
      </c>
      <c r="V38" s="14">
        <v>0</v>
      </c>
      <c r="W38" s="248">
        <f t="shared" si="7"/>
        <v>4045</v>
      </c>
      <c r="X38" s="118">
        <f t="shared" si="24"/>
        <v>0</v>
      </c>
      <c r="Y38" s="48">
        <f t="shared" si="24"/>
        <v>0</v>
      </c>
      <c r="Z38" s="260">
        <f t="shared" si="24"/>
        <v>0</v>
      </c>
      <c r="AA38" s="118">
        <v>243803000</v>
      </c>
      <c r="AB38" s="12">
        <f t="shared" si="8"/>
        <v>7875</v>
      </c>
      <c r="AC38" s="35">
        <v>251678</v>
      </c>
      <c r="AD38" s="113">
        <f t="shared" si="9"/>
        <v>310</v>
      </c>
      <c r="AE38" s="113">
        <f t="shared" si="10"/>
        <v>251988</v>
      </c>
      <c r="AF38" s="113">
        <f t="shared" si="11"/>
        <v>74</v>
      </c>
      <c r="AG38" s="113">
        <f t="shared" si="12"/>
        <v>252062</v>
      </c>
      <c r="AH38" s="113">
        <f t="shared" si="13"/>
        <v>148</v>
      </c>
      <c r="AI38" s="113">
        <f t="shared" si="14"/>
        <v>252210</v>
      </c>
      <c r="AJ38" s="113">
        <f t="shared" si="15"/>
        <v>459</v>
      </c>
      <c r="AK38" s="125">
        <f t="shared" si="16"/>
        <v>252669</v>
      </c>
    </row>
    <row r="39" spans="1:44" ht="13.5" thickBot="1" x14ac:dyDescent="0.25">
      <c r="A39" s="290" t="s">
        <v>32</v>
      </c>
      <c r="B39" s="70" t="s">
        <v>33</v>
      </c>
      <c r="C39" s="247">
        <v>40</v>
      </c>
      <c r="D39" s="14"/>
      <c r="E39" s="14">
        <v>0</v>
      </c>
      <c r="F39" s="14"/>
      <c r="G39" s="14">
        <f t="shared" si="1"/>
        <v>0</v>
      </c>
      <c r="H39" s="14"/>
      <c r="I39" s="14">
        <f t="shared" si="2"/>
        <v>0</v>
      </c>
      <c r="J39" s="14"/>
      <c r="K39" s="14"/>
      <c r="L39" s="14"/>
      <c r="M39" s="105">
        <f t="shared" si="4"/>
        <v>0</v>
      </c>
      <c r="N39" s="308">
        <v>0</v>
      </c>
      <c r="O39" s="308"/>
      <c r="P39" s="308"/>
      <c r="Q39" s="308"/>
      <c r="R39" s="308"/>
      <c r="S39" s="264">
        <v>0</v>
      </c>
      <c r="T39" s="265"/>
      <c r="U39" s="265">
        <f t="shared" si="6"/>
        <v>0</v>
      </c>
      <c r="V39" s="265"/>
      <c r="W39" s="266">
        <f t="shared" si="7"/>
        <v>0</v>
      </c>
      <c r="X39" s="247"/>
      <c r="Y39" s="14"/>
      <c r="Z39" s="303"/>
      <c r="AA39" s="247">
        <f>X39+S39+N39+C39</f>
        <v>40</v>
      </c>
      <c r="AB39" s="14">
        <f t="shared" si="8"/>
        <v>0</v>
      </c>
      <c r="AC39" s="14"/>
      <c r="AD39" s="169">
        <f t="shared" si="9"/>
        <v>0</v>
      </c>
      <c r="AE39" s="169">
        <f t="shared" si="10"/>
        <v>0</v>
      </c>
      <c r="AF39" s="169">
        <f t="shared" si="11"/>
        <v>0</v>
      </c>
      <c r="AG39" s="169">
        <v>40</v>
      </c>
      <c r="AH39" s="169">
        <f t="shared" si="13"/>
        <v>0</v>
      </c>
      <c r="AI39" s="169">
        <v>40</v>
      </c>
      <c r="AJ39" s="113">
        <f t="shared" si="15"/>
        <v>0</v>
      </c>
      <c r="AK39" s="125">
        <f t="shared" si="16"/>
        <v>40</v>
      </c>
    </row>
    <row r="40" spans="1:44" x14ac:dyDescent="0.2"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>
        <f>S38-S22</f>
        <v>0</v>
      </c>
      <c r="T40" s="4"/>
      <c r="U40" s="4"/>
      <c r="V40" s="4"/>
      <c r="W40" s="4"/>
      <c r="X40" s="4">
        <f>X38-X22</f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x14ac:dyDescent="0.2"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x14ac:dyDescent="0.2"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x14ac:dyDescent="0.2"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x14ac:dyDescent="0.2"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x14ac:dyDescent="0.2"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x14ac:dyDescent="0.2"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44" x14ac:dyDescent="0.2"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48" spans="1:44" x14ac:dyDescent="0.2"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2:44" x14ac:dyDescent="0.2"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2:44" x14ac:dyDescent="0.2">
      <c r="B50" s="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2:44" x14ac:dyDescent="0.2">
      <c r="B51" s="2"/>
    </row>
    <row r="52" spans="2:44" x14ac:dyDescent="0.2">
      <c r="B52" s="2"/>
    </row>
    <row r="53" spans="2:44" x14ac:dyDescent="0.2">
      <c r="B53" s="2"/>
    </row>
    <row r="54" spans="2:44" x14ac:dyDescent="0.2">
      <c r="B54" s="2"/>
    </row>
  </sheetData>
  <mergeCells count="47">
    <mergeCell ref="B1:C1"/>
    <mergeCell ref="A2:AE2"/>
    <mergeCell ref="AD5:AD6"/>
    <mergeCell ref="AE5:AE6"/>
    <mergeCell ref="S4:W4"/>
    <mergeCell ref="V5:V6"/>
    <mergeCell ref="W5:W6"/>
    <mergeCell ref="F5:F6"/>
    <mergeCell ref="G5:G6"/>
    <mergeCell ref="Z5:Z6"/>
    <mergeCell ref="AC5:AC6"/>
    <mergeCell ref="A3:B6"/>
    <mergeCell ref="AB5:AB6"/>
    <mergeCell ref="X4:Z4"/>
    <mergeCell ref="C3:AK3"/>
    <mergeCell ref="N4:R4"/>
    <mergeCell ref="Q5:Q6"/>
    <mergeCell ref="A23:B23"/>
    <mergeCell ref="A8:B8"/>
    <mergeCell ref="X5:X6"/>
    <mergeCell ref="C5:C6"/>
    <mergeCell ref="D5:D6"/>
    <mergeCell ref="N5:N6"/>
    <mergeCell ref="E5:E6"/>
    <mergeCell ref="H5:H6"/>
    <mergeCell ref="I5:I6"/>
    <mergeCell ref="A7:B7"/>
    <mergeCell ref="J5:J6"/>
    <mergeCell ref="K5:K6"/>
    <mergeCell ref="O5:O6"/>
    <mergeCell ref="P5:P6"/>
    <mergeCell ref="S5:S6"/>
    <mergeCell ref="T5:T6"/>
    <mergeCell ref="R5:R6"/>
    <mergeCell ref="C4:M4"/>
    <mergeCell ref="L5:L6"/>
    <mergeCell ref="M5:M6"/>
    <mergeCell ref="U5:U6"/>
    <mergeCell ref="AA5:AA6"/>
    <mergeCell ref="Y5:Y6"/>
    <mergeCell ref="AA4:AK4"/>
    <mergeCell ref="AJ5:AJ6"/>
    <mergeCell ref="AK5:AK6"/>
    <mergeCell ref="AH5:AH6"/>
    <mergeCell ref="AF5:AF6"/>
    <mergeCell ref="AG5:AG6"/>
    <mergeCell ref="AI5:AI6"/>
  </mergeCells>
  <phoneticPr fontId="2" type="noConversion"/>
  <printOptions horizontalCentered="1"/>
  <pageMargins left="0.19685039370078741" right="0.23622047244094491" top="0.47244094488188981" bottom="0.27559055118110237" header="0.35433070866141736" footer="0.15748031496062992"/>
  <pageSetup paperSize="8" scale="70" firstPageNumber="0" orientation="landscape" r:id="rId1"/>
  <headerFooter alignWithMargins="0">
    <oddHeader>&amp;CAbonyi Polgármesteri Hivatal&amp;R3. sz. melléklet</oddHeader>
  </headerFooter>
  <rowBreaks count="1" manualBreakCount="1">
    <brk id="40" max="34" man="1"/>
  </rowBreaks>
  <colBreaks count="1" manualBreakCount="1">
    <brk id="30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Y54"/>
  <sheetViews>
    <sheetView zoomScale="80" zoomScaleNormal="80" zoomScaleSheetLayoutView="90" workbookViewId="0">
      <pane xSplit="2" ySplit="7" topLeftCell="GG32" activePane="bottomRight" state="frozen"/>
      <selection pane="topRight" activeCell="C1" sqref="C1"/>
      <selection pane="bottomLeft" activeCell="A8" sqref="A8"/>
      <selection pane="bottomRight" activeCell="CF12" sqref="CF12"/>
    </sheetView>
  </sheetViews>
  <sheetFormatPr defaultColWidth="9.140625" defaultRowHeight="12.75" x14ac:dyDescent="0.2"/>
  <cols>
    <col min="1" max="1" width="3.140625" style="1" bestFit="1" customWidth="1"/>
    <col min="2" max="2" width="44.28515625" style="1" customWidth="1"/>
    <col min="3" max="12" width="9.42578125" style="1" customWidth="1"/>
    <col min="13" max="13" width="12.28515625" style="1" customWidth="1"/>
    <col min="14" max="14" width="10.42578125" style="1" customWidth="1"/>
    <col min="15" max="15" width="12" style="25" customWidth="1"/>
    <col min="16" max="25" width="9.42578125" style="1" customWidth="1"/>
    <col min="26" max="26" width="9.42578125" style="25" customWidth="1"/>
    <col min="27" max="32" width="9.140625" style="1"/>
    <col min="33" max="33" width="10.7109375" style="1" bestFit="1" customWidth="1"/>
    <col min="34" max="39" width="9.140625" style="1"/>
    <col min="40" max="40" width="9.7109375" style="1" bestFit="1" customWidth="1"/>
    <col min="41" max="44" width="9.140625" style="1"/>
    <col min="45" max="45" width="9.7109375" style="1" bestFit="1" customWidth="1"/>
    <col min="46" max="59" width="9.140625" style="1"/>
    <col min="60" max="60" width="9.7109375" style="1" bestFit="1" customWidth="1"/>
    <col min="61" max="76" width="9.140625" style="1"/>
    <col min="77" max="77" width="10.7109375" style="1" bestFit="1" customWidth="1"/>
    <col min="78" max="78" width="9.140625" style="1"/>
    <col min="79" max="79" width="10.85546875" style="1" bestFit="1" customWidth="1"/>
    <col min="80" max="81" width="10.85546875" style="1" customWidth="1"/>
    <col min="82" max="89" width="9.140625" style="1"/>
    <col min="90" max="90" width="9.7109375" style="1" bestFit="1" customWidth="1"/>
    <col min="91" max="92" width="9.140625" style="1"/>
    <col min="93" max="93" width="9.7109375" style="25" bestFit="1" customWidth="1"/>
    <col min="94" max="106" width="9.140625" style="1"/>
    <col min="107" max="107" width="10" style="1" customWidth="1"/>
    <col min="108" max="108" width="9.140625" style="1"/>
    <col min="109" max="117" width="10.85546875" style="1" customWidth="1"/>
    <col min="118" max="118" width="11.42578125" style="1" bestFit="1" customWidth="1"/>
    <col min="119" max="119" width="9.140625" style="1"/>
    <col min="120" max="120" width="10.85546875" style="1" bestFit="1" customWidth="1"/>
    <col min="121" max="130" width="10.85546875" style="1" customWidth="1"/>
    <col min="131" max="131" width="9.7109375" style="1" bestFit="1" customWidth="1"/>
    <col min="132" max="134" width="9.140625" style="1"/>
    <col min="135" max="135" width="11.28515625" style="1" customWidth="1"/>
    <col min="136" max="147" width="9.140625" style="1"/>
    <col min="148" max="148" width="10.5703125" style="1" customWidth="1"/>
    <col min="149" max="149" width="10.28515625" style="1" customWidth="1"/>
    <col min="150" max="152" width="9.140625" style="1"/>
    <col min="153" max="153" width="13.28515625" style="1" customWidth="1"/>
    <col min="154" max="155" width="9.140625" style="1"/>
    <col min="156" max="156" width="12.5703125" style="1" customWidth="1"/>
    <col min="157" max="165" width="9.140625" style="1"/>
    <col min="166" max="168" width="12.28515625" style="1" customWidth="1"/>
    <col min="169" max="169" width="9.7109375" style="1" bestFit="1" customWidth="1"/>
    <col min="170" max="170" width="9.140625" style="1"/>
    <col min="171" max="171" width="9.85546875" style="1" bestFit="1" customWidth="1"/>
    <col min="172" max="195" width="9.85546875" style="1" customWidth="1"/>
    <col min="196" max="196" width="10" style="1" customWidth="1"/>
    <col min="197" max="198" width="9.140625" style="1"/>
    <col min="199" max="199" width="10.85546875" style="1" bestFit="1" customWidth="1"/>
    <col min="200" max="200" width="9.140625" style="1"/>
    <col min="201" max="201" width="10.7109375" style="1" customWidth="1"/>
    <col min="202" max="206" width="9.140625" style="1"/>
    <col min="207" max="207" width="11.28515625" style="1" customWidth="1"/>
    <col min="208" max="16384" width="9.140625" style="1"/>
  </cols>
  <sheetData>
    <row r="1" spans="1:207" x14ac:dyDescent="0.2"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</row>
    <row r="2" spans="1:207" ht="13.5" thickBot="1" x14ac:dyDescent="0.25">
      <c r="O2" s="76"/>
      <c r="Z2" s="75"/>
      <c r="AI2" s="2" t="s">
        <v>0</v>
      </c>
      <c r="AJ2" s="2"/>
      <c r="AK2" s="2"/>
      <c r="AL2" s="2"/>
      <c r="AM2" s="2"/>
      <c r="CI2" s="2" t="s">
        <v>0</v>
      </c>
      <c r="CJ2" s="2"/>
      <c r="CK2" s="2"/>
      <c r="GQ2" s="2" t="s">
        <v>0</v>
      </c>
    </row>
    <row r="3" spans="1:207" ht="13.5" thickBot="1" x14ac:dyDescent="0.25">
      <c r="A3" s="478" t="s">
        <v>1</v>
      </c>
      <c r="B3" s="479"/>
      <c r="C3" s="499">
        <v>730259</v>
      </c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2"/>
      <c r="AJ3" s="256"/>
      <c r="AK3" s="256"/>
      <c r="AL3" s="361"/>
      <c r="AM3" s="361"/>
      <c r="AN3" s="499">
        <v>730259</v>
      </c>
      <c r="AO3" s="500"/>
      <c r="AP3" s="500"/>
      <c r="AQ3" s="500"/>
      <c r="AR3" s="500"/>
      <c r="AS3" s="501"/>
      <c r="AT3" s="501"/>
      <c r="AU3" s="501"/>
      <c r="AV3" s="501"/>
      <c r="AW3" s="501"/>
      <c r="AX3" s="501"/>
      <c r="AY3" s="501"/>
      <c r="AZ3" s="501"/>
      <c r="BA3" s="501"/>
      <c r="BB3" s="501"/>
      <c r="BC3" s="501"/>
      <c r="BD3" s="501"/>
      <c r="BE3" s="501"/>
      <c r="BF3" s="501"/>
      <c r="BG3" s="501"/>
      <c r="BH3" s="501"/>
      <c r="BI3" s="501"/>
      <c r="BJ3" s="501"/>
      <c r="BK3" s="501"/>
      <c r="BL3" s="501"/>
      <c r="BM3" s="501"/>
      <c r="BN3" s="501"/>
      <c r="BO3" s="501"/>
      <c r="BP3" s="501"/>
      <c r="BQ3" s="501"/>
      <c r="BR3" s="501"/>
      <c r="BS3" s="501"/>
      <c r="BT3" s="501"/>
      <c r="BU3" s="501"/>
      <c r="BV3" s="501"/>
      <c r="BW3" s="501"/>
      <c r="BX3" s="501"/>
      <c r="BY3" s="501"/>
      <c r="BZ3" s="501"/>
      <c r="CA3" s="501"/>
      <c r="CB3" s="501"/>
      <c r="CC3" s="501"/>
      <c r="CD3" s="501"/>
      <c r="CE3" s="501"/>
      <c r="CF3" s="501"/>
      <c r="CG3" s="501"/>
      <c r="CH3" s="501"/>
      <c r="CI3" s="501"/>
      <c r="CJ3" s="501"/>
      <c r="CK3" s="501"/>
      <c r="CL3" s="501"/>
      <c r="CM3" s="501"/>
      <c r="CN3" s="501"/>
      <c r="CO3" s="501"/>
      <c r="CP3" s="501"/>
      <c r="CQ3" s="501"/>
      <c r="CR3" s="159"/>
      <c r="CS3" s="159"/>
      <c r="CT3" s="168"/>
      <c r="CU3" s="168"/>
      <c r="CV3" s="361"/>
      <c r="CW3" s="361"/>
      <c r="CX3" s="39"/>
      <c r="CY3" s="39"/>
      <c r="CZ3" s="39"/>
      <c r="DA3" s="361"/>
      <c r="DB3" s="361"/>
      <c r="DC3" s="500">
        <v>730259</v>
      </c>
      <c r="DD3" s="501"/>
      <c r="DE3" s="501"/>
      <c r="DF3" s="501"/>
      <c r="DG3" s="501"/>
      <c r="DH3" s="501"/>
      <c r="DI3" s="501"/>
      <c r="DJ3" s="501"/>
      <c r="DK3" s="501"/>
      <c r="DL3" s="501"/>
      <c r="DM3" s="501"/>
      <c r="DN3" s="501"/>
      <c r="DO3" s="501"/>
      <c r="DP3" s="501"/>
      <c r="DQ3" s="501"/>
      <c r="DR3" s="501"/>
      <c r="DS3" s="501"/>
      <c r="DT3" s="501"/>
      <c r="DU3" s="501"/>
      <c r="DV3" s="501"/>
      <c r="DW3" s="501"/>
      <c r="DX3" s="501"/>
      <c r="DY3" s="501"/>
      <c r="DZ3" s="501"/>
      <c r="EA3" s="501"/>
      <c r="EB3" s="501"/>
      <c r="EC3" s="501"/>
      <c r="ED3" s="501"/>
      <c r="EE3" s="501"/>
      <c r="EF3" s="501"/>
      <c r="EG3" s="501"/>
      <c r="EH3" s="501"/>
      <c r="EI3" s="501"/>
      <c r="EJ3" s="501"/>
      <c r="EK3" s="501"/>
      <c r="EL3" s="501"/>
      <c r="EM3" s="501"/>
      <c r="EN3" s="501"/>
      <c r="EO3" s="501"/>
      <c r="EP3" s="501"/>
      <c r="EQ3" s="501"/>
      <c r="ER3" s="501"/>
      <c r="ES3" s="501"/>
      <c r="ET3" s="501"/>
      <c r="EU3" s="501"/>
      <c r="EV3" s="501"/>
      <c r="EW3" s="501"/>
      <c r="EX3" s="501"/>
      <c r="EY3" s="501"/>
      <c r="EZ3" s="501"/>
      <c r="FA3" s="501"/>
      <c r="FB3" s="501"/>
      <c r="FC3" s="501"/>
      <c r="FD3" s="501"/>
      <c r="FE3" s="501"/>
      <c r="FF3" s="501"/>
      <c r="FG3" s="501"/>
      <c r="FH3" s="501"/>
      <c r="FI3" s="501"/>
      <c r="FJ3" s="501"/>
      <c r="FK3" s="501"/>
      <c r="FL3" s="501"/>
      <c r="FM3" s="501"/>
      <c r="FN3" s="501"/>
      <c r="FO3" s="501"/>
      <c r="FP3" s="501"/>
      <c r="FQ3" s="501"/>
      <c r="FR3" s="501"/>
      <c r="FS3" s="501"/>
      <c r="FT3" s="501"/>
      <c r="FU3" s="501"/>
      <c r="FV3" s="501"/>
      <c r="FW3" s="501"/>
      <c r="FX3" s="501"/>
      <c r="FY3" s="501"/>
      <c r="FZ3" s="501"/>
      <c r="GA3" s="501"/>
      <c r="GB3" s="501"/>
      <c r="GC3" s="501"/>
      <c r="GD3" s="501"/>
      <c r="GE3" s="501"/>
      <c r="GF3" s="501"/>
      <c r="GG3" s="501"/>
      <c r="GH3" s="501"/>
      <c r="GI3" s="501"/>
      <c r="GJ3" s="501"/>
      <c r="GK3" s="501"/>
      <c r="GL3" s="501"/>
      <c r="GM3" s="501"/>
      <c r="GN3" s="501"/>
      <c r="GO3" s="501"/>
      <c r="GP3" s="501"/>
      <c r="GQ3" s="502"/>
    </row>
    <row r="4" spans="1:207" s="3" customFormat="1" ht="63" customHeight="1" x14ac:dyDescent="0.2">
      <c r="A4" s="450"/>
      <c r="B4" s="477"/>
      <c r="C4" s="489" t="s">
        <v>96</v>
      </c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89" t="s">
        <v>97</v>
      </c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511" t="s">
        <v>98</v>
      </c>
      <c r="AA4" s="509"/>
      <c r="AB4" s="509"/>
      <c r="AC4" s="509"/>
      <c r="AD4" s="509"/>
      <c r="AE4" s="509"/>
      <c r="AF4" s="509"/>
      <c r="AG4" s="511" t="s">
        <v>125</v>
      </c>
      <c r="AH4" s="509"/>
      <c r="AI4" s="509"/>
      <c r="AJ4" s="509"/>
      <c r="AK4" s="509"/>
      <c r="AL4" s="509"/>
      <c r="AM4" s="510"/>
      <c r="AN4" s="509" t="s">
        <v>99</v>
      </c>
      <c r="AO4" s="509"/>
      <c r="AP4" s="509"/>
      <c r="AQ4" s="509"/>
      <c r="AR4" s="509"/>
      <c r="AS4" s="511" t="s">
        <v>110</v>
      </c>
      <c r="AT4" s="509"/>
      <c r="AU4" s="509"/>
      <c r="AV4" s="509"/>
      <c r="AW4" s="509"/>
      <c r="AX4" s="511" t="s">
        <v>100</v>
      </c>
      <c r="AY4" s="509"/>
      <c r="AZ4" s="509"/>
      <c r="BA4" s="509"/>
      <c r="BB4" s="509"/>
      <c r="BC4" s="509"/>
      <c r="BD4" s="509"/>
      <c r="BE4" s="509"/>
      <c r="BF4" s="509"/>
      <c r="BG4" s="510"/>
      <c r="BH4" s="509" t="s">
        <v>111</v>
      </c>
      <c r="BI4" s="509"/>
      <c r="BJ4" s="509"/>
      <c r="BK4" s="509"/>
      <c r="BL4" s="509"/>
      <c r="BM4" s="509"/>
      <c r="BN4" s="510"/>
      <c r="BO4" s="511" t="s">
        <v>122</v>
      </c>
      <c r="BP4" s="509"/>
      <c r="BQ4" s="509"/>
      <c r="BR4" s="509"/>
      <c r="BS4" s="509"/>
      <c r="BT4" s="520" t="s">
        <v>121</v>
      </c>
      <c r="BU4" s="521"/>
      <c r="BV4" s="521"/>
      <c r="BW4" s="521"/>
      <c r="BX4" s="522"/>
      <c r="BY4" s="509" t="s">
        <v>104</v>
      </c>
      <c r="BZ4" s="509"/>
      <c r="CA4" s="509"/>
      <c r="CB4" s="509"/>
      <c r="CC4" s="510"/>
      <c r="CD4" s="491" t="s">
        <v>120</v>
      </c>
      <c r="CE4" s="507"/>
      <c r="CF4" s="507"/>
      <c r="CG4" s="511" t="s">
        <v>105</v>
      </c>
      <c r="CH4" s="509"/>
      <c r="CI4" s="509"/>
      <c r="CJ4" s="509"/>
      <c r="CK4" s="510"/>
      <c r="CL4" s="496" t="s">
        <v>156</v>
      </c>
      <c r="CM4" s="505"/>
      <c r="CN4" s="506"/>
      <c r="CO4" s="511" t="s">
        <v>124</v>
      </c>
      <c r="CP4" s="509"/>
      <c r="CQ4" s="509"/>
      <c r="CR4" s="509"/>
      <c r="CS4" s="509"/>
      <c r="CT4" s="509"/>
      <c r="CU4" s="509"/>
      <c r="CV4" s="509"/>
      <c r="CW4" s="510"/>
      <c r="CX4" s="509" t="s">
        <v>112</v>
      </c>
      <c r="CY4" s="509"/>
      <c r="CZ4" s="509"/>
      <c r="DA4" s="509"/>
      <c r="DB4" s="510"/>
      <c r="DC4" s="490" t="s">
        <v>101</v>
      </c>
      <c r="DD4" s="490"/>
      <c r="DE4" s="490"/>
      <c r="DF4" s="490"/>
      <c r="DG4" s="490"/>
      <c r="DH4" s="490"/>
      <c r="DI4" s="490"/>
      <c r="DJ4" s="490"/>
      <c r="DK4" s="490"/>
      <c r="DL4" s="490"/>
      <c r="DM4" s="490"/>
      <c r="DN4" s="489" t="s">
        <v>102</v>
      </c>
      <c r="DO4" s="490"/>
      <c r="DP4" s="490"/>
      <c r="DQ4" s="490"/>
      <c r="DR4" s="490"/>
      <c r="DS4" s="490"/>
      <c r="DT4" s="490"/>
      <c r="DU4" s="490"/>
      <c r="DV4" s="490"/>
      <c r="DW4" s="490"/>
      <c r="DX4" s="490"/>
      <c r="DY4" s="490"/>
      <c r="DZ4" s="490"/>
      <c r="EA4" s="489" t="s">
        <v>152</v>
      </c>
      <c r="EB4" s="490"/>
      <c r="EC4" s="490"/>
      <c r="ED4" s="490"/>
      <c r="EE4" s="490"/>
      <c r="EF4" s="511" t="s">
        <v>119</v>
      </c>
      <c r="EG4" s="509"/>
      <c r="EH4" s="509"/>
      <c r="EI4" s="509"/>
      <c r="EJ4" s="510"/>
      <c r="EK4" s="509" t="s">
        <v>118</v>
      </c>
      <c r="EL4" s="509"/>
      <c r="EM4" s="509"/>
      <c r="EN4" s="509"/>
      <c r="EO4" s="509"/>
      <c r="EP4" s="509"/>
      <c r="EQ4" s="509"/>
      <c r="ER4" s="509"/>
      <c r="ES4" s="510"/>
      <c r="ET4" s="491" t="s">
        <v>117</v>
      </c>
      <c r="EU4" s="507"/>
      <c r="EV4" s="508"/>
      <c r="EW4" s="495" t="s">
        <v>155</v>
      </c>
      <c r="EX4" s="507"/>
      <c r="EY4" s="508"/>
      <c r="EZ4" s="495" t="s">
        <v>157</v>
      </c>
      <c r="FA4" s="491"/>
      <c r="FB4" s="491"/>
      <c r="FC4" s="491"/>
      <c r="FD4" s="491"/>
      <c r="FE4" s="511" t="s">
        <v>158</v>
      </c>
      <c r="FF4" s="509"/>
      <c r="FG4" s="509"/>
      <c r="FH4" s="510"/>
      <c r="FI4" s="509" t="s">
        <v>159</v>
      </c>
      <c r="FJ4" s="509"/>
      <c r="FK4" s="509"/>
      <c r="FL4" s="509"/>
      <c r="FM4" s="495" t="s">
        <v>183</v>
      </c>
      <c r="FN4" s="491"/>
      <c r="FO4" s="491"/>
      <c r="FP4" s="491"/>
      <c r="FQ4" s="491"/>
      <c r="FR4" s="491"/>
      <c r="FS4" s="496"/>
      <c r="FT4" s="509" t="s">
        <v>182</v>
      </c>
      <c r="FU4" s="509"/>
      <c r="FV4" s="509"/>
      <c r="FW4" s="509"/>
      <c r="FX4" s="511" t="s">
        <v>172</v>
      </c>
      <c r="FY4" s="509"/>
      <c r="FZ4" s="509"/>
      <c r="GA4" s="510"/>
      <c r="GB4" s="511" t="s">
        <v>179</v>
      </c>
      <c r="GC4" s="510"/>
      <c r="GD4" s="491" t="s">
        <v>180</v>
      </c>
      <c r="GE4" s="491"/>
      <c r="GF4" s="511" t="s">
        <v>173</v>
      </c>
      <c r="GG4" s="509"/>
      <c r="GH4" s="509"/>
      <c r="GI4" s="510"/>
      <c r="GJ4" s="509" t="s">
        <v>178</v>
      </c>
      <c r="GK4" s="509"/>
      <c r="GL4" s="511" t="s">
        <v>185</v>
      </c>
      <c r="GM4" s="510"/>
      <c r="GN4" s="514" t="s">
        <v>103</v>
      </c>
      <c r="GO4" s="514"/>
      <c r="GP4" s="514"/>
      <c r="GQ4" s="514"/>
      <c r="GR4" s="514"/>
      <c r="GS4" s="514"/>
      <c r="GT4" s="514"/>
      <c r="GU4" s="514"/>
      <c r="GV4" s="514"/>
      <c r="GW4" s="514"/>
      <c r="GX4" s="514"/>
      <c r="GY4" s="515"/>
    </row>
    <row r="5" spans="1:207" ht="12.75" customHeight="1" x14ac:dyDescent="0.2">
      <c r="A5" s="450"/>
      <c r="B5" s="477"/>
      <c r="C5" s="450" t="s">
        <v>36</v>
      </c>
      <c r="D5" s="451" t="s">
        <v>131</v>
      </c>
      <c r="E5" s="451" t="s">
        <v>138</v>
      </c>
      <c r="F5" s="451" t="s">
        <v>142</v>
      </c>
      <c r="G5" s="451" t="s">
        <v>144</v>
      </c>
      <c r="H5" s="451" t="s">
        <v>145</v>
      </c>
      <c r="I5" s="451" t="s">
        <v>167</v>
      </c>
      <c r="J5" s="451" t="s">
        <v>168</v>
      </c>
      <c r="K5" s="451" t="s">
        <v>174</v>
      </c>
      <c r="L5" s="451" t="s">
        <v>175</v>
      </c>
      <c r="M5" s="464" t="s">
        <v>177</v>
      </c>
      <c r="N5" s="466" t="s">
        <v>177</v>
      </c>
      <c r="O5" s="494" t="s">
        <v>36</v>
      </c>
      <c r="P5" s="451" t="s">
        <v>131</v>
      </c>
      <c r="Q5" s="451" t="s">
        <v>130</v>
      </c>
      <c r="R5" s="451" t="s">
        <v>144</v>
      </c>
      <c r="S5" s="451" t="s">
        <v>145</v>
      </c>
      <c r="T5" s="451" t="s">
        <v>171</v>
      </c>
      <c r="U5" s="451" t="s">
        <v>168</v>
      </c>
      <c r="V5" s="451" t="s">
        <v>174</v>
      </c>
      <c r="W5" s="451" t="s">
        <v>175</v>
      </c>
      <c r="X5" s="464" t="s">
        <v>176</v>
      </c>
      <c r="Y5" s="466" t="s">
        <v>177</v>
      </c>
      <c r="Z5" s="494" t="s">
        <v>36</v>
      </c>
      <c r="AA5" s="451" t="s">
        <v>167</v>
      </c>
      <c r="AB5" s="451" t="s">
        <v>168</v>
      </c>
      <c r="AC5" s="451" t="s">
        <v>174</v>
      </c>
      <c r="AD5" s="451" t="s">
        <v>175</v>
      </c>
      <c r="AE5" s="464" t="s">
        <v>176</v>
      </c>
      <c r="AF5" s="466" t="s">
        <v>177</v>
      </c>
      <c r="AG5" s="450" t="s">
        <v>36</v>
      </c>
      <c r="AH5" s="451" t="s">
        <v>131</v>
      </c>
      <c r="AI5" s="451" t="s">
        <v>130</v>
      </c>
      <c r="AJ5" s="451" t="s">
        <v>174</v>
      </c>
      <c r="AK5" s="451" t="s">
        <v>175</v>
      </c>
      <c r="AL5" s="464" t="s">
        <v>176</v>
      </c>
      <c r="AM5" s="460" t="s">
        <v>177</v>
      </c>
      <c r="AN5" s="472" t="s">
        <v>36</v>
      </c>
      <c r="AO5" s="451" t="s">
        <v>131</v>
      </c>
      <c r="AP5" s="451" t="s">
        <v>130</v>
      </c>
      <c r="AQ5" s="464" t="s">
        <v>176</v>
      </c>
      <c r="AR5" s="466" t="s">
        <v>177</v>
      </c>
      <c r="AS5" s="450" t="s">
        <v>36</v>
      </c>
      <c r="AT5" s="451" t="s">
        <v>167</v>
      </c>
      <c r="AU5" s="451" t="s">
        <v>168</v>
      </c>
      <c r="AV5" s="464" t="s">
        <v>176</v>
      </c>
      <c r="AW5" s="466" t="s">
        <v>177</v>
      </c>
      <c r="AX5" s="450" t="s">
        <v>36</v>
      </c>
      <c r="AY5" s="451" t="s">
        <v>131</v>
      </c>
      <c r="AZ5" s="451" t="s">
        <v>138</v>
      </c>
      <c r="BA5" s="451" t="s">
        <v>139</v>
      </c>
      <c r="BB5" s="451" t="s">
        <v>167</v>
      </c>
      <c r="BC5" s="451" t="s">
        <v>168</v>
      </c>
      <c r="BD5" s="451" t="s">
        <v>174</v>
      </c>
      <c r="BE5" s="451" t="s">
        <v>175</v>
      </c>
      <c r="BF5" s="464" t="s">
        <v>176</v>
      </c>
      <c r="BG5" s="460" t="s">
        <v>177</v>
      </c>
      <c r="BH5" s="472" t="s">
        <v>36</v>
      </c>
      <c r="BI5" s="451" t="s">
        <v>131</v>
      </c>
      <c r="BJ5" s="451" t="s">
        <v>130</v>
      </c>
      <c r="BK5" s="451" t="s">
        <v>144</v>
      </c>
      <c r="BL5" s="451" t="s">
        <v>145</v>
      </c>
      <c r="BM5" s="464" t="s">
        <v>176</v>
      </c>
      <c r="BN5" s="460" t="s">
        <v>177</v>
      </c>
      <c r="BO5" s="450" t="s">
        <v>36</v>
      </c>
      <c r="BP5" s="451" t="s">
        <v>167</v>
      </c>
      <c r="BQ5" s="451" t="s">
        <v>168</v>
      </c>
      <c r="BR5" s="464" t="s">
        <v>176</v>
      </c>
      <c r="BS5" s="466" t="s">
        <v>177</v>
      </c>
      <c r="BT5" s="450" t="s">
        <v>36</v>
      </c>
      <c r="BU5" s="451" t="s">
        <v>131</v>
      </c>
      <c r="BV5" s="451" t="s">
        <v>130</v>
      </c>
      <c r="BW5" s="464" t="s">
        <v>176</v>
      </c>
      <c r="BX5" s="460" t="s">
        <v>177</v>
      </c>
      <c r="BY5" s="472" t="s">
        <v>36</v>
      </c>
      <c r="BZ5" s="451" t="s">
        <v>169</v>
      </c>
      <c r="CA5" s="451" t="s">
        <v>168</v>
      </c>
      <c r="CB5" s="464" t="s">
        <v>176</v>
      </c>
      <c r="CC5" s="460" t="s">
        <v>177</v>
      </c>
      <c r="CD5" s="472" t="s">
        <v>36</v>
      </c>
      <c r="CE5" s="451" t="s">
        <v>176</v>
      </c>
      <c r="CF5" s="477" t="s">
        <v>177</v>
      </c>
      <c r="CG5" s="450" t="s">
        <v>36</v>
      </c>
      <c r="CH5" s="451" t="s">
        <v>167</v>
      </c>
      <c r="CI5" s="451" t="s">
        <v>168</v>
      </c>
      <c r="CJ5" s="464" t="s">
        <v>176</v>
      </c>
      <c r="CK5" s="460" t="s">
        <v>177</v>
      </c>
      <c r="CL5" s="472" t="s">
        <v>36</v>
      </c>
      <c r="CM5" s="451" t="s">
        <v>131</v>
      </c>
      <c r="CN5" s="477" t="s">
        <v>177</v>
      </c>
      <c r="CO5" s="494" t="s">
        <v>36</v>
      </c>
      <c r="CP5" s="451" t="s">
        <v>131</v>
      </c>
      <c r="CQ5" s="451" t="s">
        <v>130</v>
      </c>
      <c r="CR5" s="451" t="s">
        <v>144</v>
      </c>
      <c r="CS5" s="451" t="s">
        <v>145</v>
      </c>
      <c r="CT5" s="451" t="s">
        <v>170</v>
      </c>
      <c r="CU5" s="451" t="s">
        <v>168</v>
      </c>
      <c r="CV5" s="464" t="s">
        <v>176</v>
      </c>
      <c r="CW5" s="460" t="s">
        <v>177</v>
      </c>
      <c r="CX5" s="472" t="s">
        <v>36</v>
      </c>
      <c r="CY5" s="451" t="s">
        <v>167</v>
      </c>
      <c r="CZ5" s="451" t="s">
        <v>168</v>
      </c>
      <c r="DA5" s="464" t="s">
        <v>176</v>
      </c>
      <c r="DB5" s="460" t="s">
        <v>177</v>
      </c>
      <c r="DC5" s="472" t="s">
        <v>36</v>
      </c>
      <c r="DD5" s="451" t="s">
        <v>131</v>
      </c>
      <c r="DE5" s="451" t="s">
        <v>130</v>
      </c>
      <c r="DF5" s="451" t="s">
        <v>144</v>
      </c>
      <c r="DG5" s="451" t="s">
        <v>145</v>
      </c>
      <c r="DH5" s="451" t="s">
        <v>167</v>
      </c>
      <c r="DI5" s="451" t="s">
        <v>168</v>
      </c>
      <c r="DJ5" s="451" t="s">
        <v>174</v>
      </c>
      <c r="DK5" s="451" t="s">
        <v>175</v>
      </c>
      <c r="DL5" s="464" t="s">
        <v>176</v>
      </c>
      <c r="DM5" s="466" t="s">
        <v>177</v>
      </c>
      <c r="DN5" s="450" t="s">
        <v>36</v>
      </c>
      <c r="DO5" s="451" t="s">
        <v>131</v>
      </c>
      <c r="DP5" s="451" t="s">
        <v>130</v>
      </c>
      <c r="DQ5" s="451" t="s">
        <v>153</v>
      </c>
      <c r="DR5" s="451" t="s">
        <v>154</v>
      </c>
      <c r="DS5" s="451" t="s">
        <v>144</v>
      </c>
      <c r="DT5" s="451" t="s">
        <v>145</v>
      </c>
      <c r="DU5" s="451" t="s">
        <v>167</v>
      </c>
      <c r="DV5" s="451" t="s">
        <v>168</v>
      </c>
      <c r="DW5" s="451" t="s">
        <v>174</v>
      </c>
      <c r="DX5" s="451" t="s">
        <v>175</v>
      </c>
      <c r="DY5" s="464" t="s">
        <v>176</v>
      </c>
      <c r="DZ5" s="466" t="s">
        <v>177</v>
      </c>
      <c r="EA5" s="450" t="s">
        <v>36</v>
      </c>
      <c r="EB5" s="451" t="s">
        <v>167</v>
      </c>
      <c r="EC5" s="451" t="s">
        <v>168</v>
      </c>
      <c r="ED5" s="464" t="s">
        <v>176</v>
      </c>
      <c r="EE5" s="466" t="s">
        <v>177</v>
      </c>
      <c r="EF5" s="450" t="s">
        <v>36</v>
      </c>
      <c r="EG5" s="451" t="s">
        <v>131</v>
      </c>
      <c r="EH5" s="451" t="s">
        <v>130</v>
      </c>
      <c r="EI5" s="464" t="s">
        <v>176</v>
      </c>
      <c r="EJ5" s="460" t="s">
        <v>177</v>
      </c>
      <c r="EK5" s="472" t="s">
        <v>36</v>
      </c>
      <c r="EL5" s="451" t="s">
        <v>131</v>
      </c>
      <c r="EM5" s="451" t="s">
        <v>130</v>
      </c>
      <c r="EN5" s="451" t="s">
        <v>144</v>
      </c>
      <c r="EO5" s="451" t="s">
        <v>145</v>
      </c>
      <c r="EP5" s="451" t="s">
        <v>174</v>
      </c>
      <c r="EQ5" s="451" t="s">
        <v>175</v>
      </c>
      <c r="ER5" s="464" t="s">
        <v>176</v>
      </c>
      <c r="ES5" s="460" t="s">
        <v>177</v>
      </c>
      <c r="ET5" s="472" t="s">
        <v>36</v>
      </c>
      <c r="EU5" s="451" t="s">
        <v>167</v>
      </c>
      <c r="EV5" s="451" t="s">
        <v>177</v>
      </c>
      <c r="EW5" s="451" t="s">
        <v>36</v>
      </c>
      <c r="EX5" s="451" t="s">
        <v>131</v>
      </c>
      <c r="EY5" s="451" t="s">
        <v>177</v>
      </c>
      <c r="EZ5" s="451" t="s">
        <v>36</v>
      </c>
      <c r="FA5" s="451" t="s">
        <v>131</v>
      </c>
      <c r="FB5" s="451" t="s">
        <v>130</v>
      </c>
      <c r="FC5" s="464" t="s">
        <v>144</v>
      </c>
      <c r="FD5" s="466" t="s">
        <v>177</v>
      </c>
      <c r="FE5" s="450" t="s">
        <v>131</v>
      </c>
      <c r="FF5" s="451" t="s">
        <v>177</v>
      </c>
      <c r="FG5" s="464" t="s">
        <v>176</v>
      </c>
      <c r="FH5" s="460" t="s">
        <v>177</v>
      </c>
      <c r="FI5" s="472" t="s">
        <v>144</v>
      </c>
      <c r="FJ5" s="451" t="s">
        <v>145</v>
      </c>
      <c r="FK5" s="464" t="s">
        <v>176</v>
      </c>
      <c r="FL5" s="466" t="s">
        <v>177</v>
      </c>
      <c r="FM5" s="464" t="s">
        <v>36</v>
      </c>
      <c r="FN5" s="464" t="s">
        <v>144</v>
      </c>
      <c r="FO5" s="464" t="s">
        <v>145</v>
      </c>
      <c r="FP5" s="464" t="s">
        <v>167</v>
      </c>
      <c r="FQ5" s="464" t="s">
        <v>168</v>
      </c>
      <c r="FR5" s="464" t="s">
        <v>176</v>
      </c>
      <c r="FS5" s="464" t="s">
        <v>177</v>
      </c>
      <c r="FT5" s="492" t="s">
        <v>167</v>
      </c>
      <c r="FU5" s="464" t="s">
        <v>168</v>
      </c>
      <c r="FV5" s="464" t="s">
        <v>176</v>
      </c>
      <c r="FW5" s="466" t="s">
        <v>177</v>
      </c>
      <c r="FX5" s="450" t="s">
        <v>167</v>
      </c>
      <c r="FY5" s="451" t="s">
        <v>168</v>
      </c>
      <c r="FZ5" s="464" t="s">
        <v>176</v>
      </c>
      <c r="GA5" s="460" t="s">
        <v>177</v>
      </c>
      <c r="GB5" s="512" t="s">
        <v>176</v>
      </c>
      <c r="GC5" s="460" t="s">
        <v>177</v>
      </c>
      <c r="GD5" s="492" t="s">
        <v>176</v>
      </c>
      <c r="GE5" s="466" t="s">
        <v>181</v>
      </c>
      <c r="GF5" s="450" t="s">
        <v>167</v>
      </c>
      <c r="GG5" s="451" t="s">
        <v>168</v>
      </c>
      <c r="GH5" s="464" t="s">
        <v>176</v>
      </c>
      <c r="GI5" s="460" t="s">
        <v>177</v>
      </c>
      <c r="GJ5" s="492" t="s">
        <v>176</v>
      </c>
      <c r="GK5" s="466" t="s">
        <v>177</v>
      </c>
      <c r="GL5" s="512" t="s">
        <v>176</v>
      </c>
      <c r="GM5" s="460" t="s">
        <v>177</v>
      </c>
      <c r="GN5" s="472" t="s">
        <v>36</v>
      </c>
      <c r="GO5" s="451" t="s">
        <v>131</v>
      </c>
      <c r="GP5" s="451" t="s">
        <v>138</v>
      </c>
      <c r="GQ5" s="451" t="s">
        <v>139</v>
      </c>
      <c r="GR5" s="459" t="s">
        <v>144</v>
      </c>
      <c r="GS5" s="459" t="s">
        <v>145</v>
      </c>
      <c r="GT5" s="459" t="s">
        <v>167</v>
      </c>
      <c r="GU5" s="459" t="s">
        <v>168</v>
      </c>
      <c r="GV5" s="459" t="s">
        <v>174</v>
      </c>
      <c r="GW5" s="459" t="s">
        <v>175</v>
      </c>
      <c r="GX5" s="516" t="s">
        <v>176</v>
      </c>
      <c r="GY5" s="518" t="s">
        <v>177</v>
      </c>
    </row>
    <row r="6" spans="1:207" ht="33.75" customHeight="1" x14ac:dyDescent="0.2">
      <c r="A6" s="450"/>
      <c r="B6" s="477"/>
      <c r="C6" s="450"/>
      <c r="D6" s="451"/>
      <c r="E6" s="451"/>
      <c r="F6" s="451"/>
      <c r="G6" s="451"/>
      <c r="H6" s="451"/>
      <c r="I6" s="451"/>
      <c r="J6" s="451"/>
      <c r="K6" s="451"/>
      <c r="L6" s="451"/>
      <c r="M6" s="465"/>
      <c r="N6" s="467"/>
      <c r="O6" s="494"/>
      <c r="P6" s="451"/>
      <c r="Q6" s="451"/>
      <c r="R6" s="451"/>
      <c r="S6" s="451"/>
      <c r="T6" s="451"/>
      <c r="U6" s="451"/>
      <c r="V6" s="451"/>
      <c r="W6" s="451"/>
      <c r="X6" s="465"/>
      <c r="Y6" s="467"/>
      <c r="Z6" s="494"/>
      <c r="AA6" s="451"/>
      <c r="AB6" s="451"/>
      <c r="AC6" s="451"/>
      <c r="AD6" s="451"/>
      <c r="AE6" s="465"/>
      <c r="AF6" s="467"/>
      <c r="AG6" s="450"/>
      <c r="AH6" s="451"/>
      <c r="AI6" s="451"/>
      <c r="AJ6" s="451"/>
      <c r="AK6" s="451"/>
      <c r="AL6" s="465"/>
      <c r="AM6" s="461"/>
      <c r="AN6" s="472"/>
      <c r="AO6" s="451"/>
      <c r="AP6" s="451"/>
      <c r="AQ6" s="465"/>
      <c r="AR6" s="467"/>
      <c r="AS6" s="450"/>
      <c r="AT6" s="451"/>
      <c r="AU6" s="451"/>
      <c r="AV6" s="465"/>
      <c r="AW6" s="467"/>
      <c r="AX6" s="450"/>
      <c r="AY6" s="451"/>
      <c r="AZ6" s="451"/>
      <c r="BA6" s="451"/>
      <c r="BB6" s="451"/>
      <c r="BC6" s="451"/>
      <c r="BD6" s="451"/>
      <c r="BE6" s="451"/>
      <c r="BF6" s="465"/>
      <c r="BG6" s="461"/>
      <c r="BH6" s="472"/>
      <c r="BI6" s="451"/>
      <c r="BJ6" s="451"/>
      <c r="BK6" s="451"/>
      <c r="BL6" s="451"/>
      <c r="BM6" s="465"/>
      <c r="BN6" s="461"/>
      <c r="BO6" s="450"/>
      <c r="BP6" s="451"/>
      <c r="BQ6" s="451"/>
      <c r="BR6" s="465"/>
      <c r="BS6" s="467"/>
      <c r="BT6" s="450"/>
      <c r="BU6" s="451"/>
      <c r="BV6" s="451"/>
      <c r="BW6" s="465"/>
      <c r="BX6" s="461"/>
      <c r="BY6" s="472"/>
      <c r="BZ6" s="451"/>
      <c r="CA6" s="451"/>
      <c r="CB6" s="465"/>
      <c r="CC6" s="461"/>
      <c r="CD6" s="472"/>
      <c r="CE6" s="451"/>
      <c r="CF6" s="477"/>
      <c r="CG6" s="450"/>
      <c r="CH6" s="451"/>
      <c r="CI6" s="451"/>
      <c r="CJ6" s="465"/>
      <c r="CK6" s="461"/>
      <c r="CL6" s="472"/>
      <c r="CM6" s="451"/>
      <c r="CN6" s="477"/>
      <c r="CO6" s="494"/>
      <c r="CP6" s="451"/>
      <c r="CQ6" s="451"/>
      <c r="CR6" s="451"/>
      <c r="CS6" s="451"/>
      <c r="CT6" s="451"/>
      <c r="CU6" s="451"/>
      <c r="CV6" s="465"/>
      <c r="CW6" s="461"/>
      <c r="CX6" s="472"/>
      <c r="CY6" s="451"/>
      <c r="CZ6" s="451"/>
      <c r="DA6" s="465"/>
      <c r="DB6" s="461"/>
      <c r="DC6" s="472"/>
      <c r="DD6" s="451"/>
      <c r="DE6" s="451"/>
      <c r="DF6" s="451"/>
      <c r="DG6" s="451"/>
      <c r="DH6" s="451"/>
      <c r="DI6" s="451"/>
      <c r="DJ6" s="451"/>
      <c r="DK6" s="451"/>
      <c r="DL6" s="465"/>
      <c r="DM6" s="467"/>
      <c r="DN6" s="450"/>
      <c r="DO6" s="451"/>
      <c r="DP6" s="451"/>
      <c r="DQ6" s="451"/>
      <c r="DR6" s="451"/>
      <c r="DS6" s="451"/>
      <c r="DT6" s="451"/>
      <c r="DU6" s="451"/>
      <c r="DV6" s="451"/>
      <c r="DW6" s="451"/>
      <c r="DX6" s="451"/>
      <c r="DY6" s="465"/>
      <c r="DZ6" s="467"/>
      <c r="EA6" s="450"/>
      <c r="EB6" s="451"/>
      <c r="EC6" s="451"/>
      <c r="ED6" s="465"/>
      <c r="EE6" s="467"/>
      <c r="EF6" s="450"/>
      <c r="EG6" s="451"/>
      <c r="EH6" s="451"/>
      <c r="EI6" s="465"/>
      <c r="EJ6" s="461"/>
      <c r="EK6" s="472"/>
      <c r="EL6" s="451"/>
      <c r="EM6" s="451"/>
      <c r="EN6" s="451"/>
      <c r="EO6" s="451"/>
      <c r="EP6" s="451"/>
      <c r="EQ6" s="451"/>
      <c r="ER6" s="465"/>
      <c r="ES6" s="461"/>
      <c r="ET6" s="472"/>
      <c r="EU6" s="451"/>
      <c r="EV6" s="451"/>
      <c r="EW6" s="451"/>
      <c r="EX6" s="451"/>
      <c r="EY6" s="451"/>
      <c r="EZ6" s="451"/>
      <c r="FA6" s="451"/>
      <c r="FB6" s="451"/>
      <c r="FC6" s="465"/>
      <c r="FD6" s="467"/>
      <c r="FE6" s="450"/>
      <c r="FF6" s="451"/>
      <c r="FG6" s="465"/>
      <c r="FH6" s="461"/>
      <c r="FI6" s="472"/>
      <c r="FJ6" s="451"/>
      <c r="FK6" s="465"/>
      <c r="FL6" s="467"/>
      <c r="FM6" s="465"/>
      <c r="FN6" s="465"/>
      <c r="FO6" s="465"/>
      <c r="FP6" s="465"/>
      <c r="FQ6" s="465"/>
      <c r="FR6" s="465"/>
      <c r="FS6" s="465"/>
      <c r="FT6" s="493"/>
      <c r="FU6" s="465"/>
      <c r="FV6" s="465"/>
      <c r="FW6" s="467"/>
      <c r="FX6" s="450"/>
      <c r="FY6" s="451"/>
      <c r="FZ6" s="465"/>
      <c r="GA6" s="461"/>
      <c r="GB6" s="513"/>
      <c r="GC6" s="461"/>
      <c r="GD6" s="493"/>
      <c r="GE6" s="467"/>
      <c r="GF6" s="450"/>
      <c r="GG6" s="451"/>
      <c r="GH6" s="465"/>
      <c r="GI6" s="461"/>
      <c r="GJ6" s="493"/>
      <c r="GK6" s="467"/>
      <c r="GL6" s="513"/>
      <c r="GM6" s="461"/>
      <c r="GN6" s="472"/>
      <c r="GO6" s="451"/>
      <c r="GP6" s="459"/>
      <c r="GQ6" s="451"/>
      <c r="GR6" s="459"/>
      <c r="GS6" s="459"/>
      <c r="GT6" s="459"/>
      <c r="GU6" s="459"/>
      <c r="GV6" s="459"/>
      <c r="GW6" s="459"/>
      <c r="GX6" s="517"/>
      <c r="GY6" s="519"/>
    </row>
    <row r="7" spans="1:207" ht="13.5" thickBot="1" x14ac:dyDescent="0.25">
      <c r="A7" s="503">
        <v>1</v>
      </c>
      <c r="B7" s="504"/>
      <c r="C7" s="332">
        <v>2</v>
      </c>
      <c r="D7" s="126">
        <v>3</v>
      </c>
      <c r="E7" s="126">
        <v>4</v>
      </c>
      <c r="F7" s="126">
        <v>5</v>
      </c>
      <c r="G7" s="126"/>
      <c r="H7" s="126"/>
      <c r="I7" s="126"/>
      <c r="J7" s="126"/>
      <c r="K7" s="126"/>
      <c r="L7" s="126"/>
      <c r="M7" s="126"/>
      <c r="N7" s="360"/>
      <c r="O7" s="362">
        <v>6</v>
      </c>
      <c r="P7" s="126">
        <v>7</v>
      </c>
      <c r="Q7" s="126">
        <v>8</v>
      </c>
      <c r="R7" s="126"/>
      <c r="S7" s="126"/>
      <c r="T7" s="126"/>
      <c r="U7" s="126"/>
      <c r="V7" s="126"/>
      <c r="W7" s="126"/>
      <c r="X7" s="126"/>
      <c r="Y7" s="360"/>
      <c r="Z7" s="364">
        <v>9</v>
      </c>
      <c r="AA7" s="126">
        <v>10</v>
      </c>
      <c r="AB7" s="126">
        <v>11</v>
      </c>
      <c r="AC7" s="126"/>
      <c r="AD7" s="126"/>
      <c r="AE7" s="126"/>
      <c r="AF7" s="360"/>
      <c r="AG7" s="359">
        <v>12</v>
      </c>
      <c r="AH7" s="126">
        <v>13</v>
      </c>
      <c r="AI7" s="126">
        <v>14</v>
      </c>
      <c r="AJ7" s="126"/>
      <c r="AK7" s="126"/>
      <c r="AL7" s="126"/>
      <c r="AM7" s="22"/>
      <c r="AN7" s="122">
        <v>15</v>
      </c>
      <c r="AO7" s="126">
        <v>16</v>
      </c>
      <c r="AP7" s="126">
        <v>17</v>
      </c>
      <c r="AQ7" s="126"/>
      <c r="AR7" s="360"/>
      <c r="AS7" s="359">
        <v>18</v>
      </c>
      <c r="AT7" s="126">
        <v>19</v>
      </c>
      <c r="AU7" s="126">
        <v>20</v>
      </c>
      <c r="AV7" s="126"/>
      <c r="AW7" s="360"/>
      <c r="AX7" s="359">
        <v>21</v>
      </c>
      <c r="AY7" s="126">
        <v>22</v>
      </c>
      <c r="AZ7" s="126">
        <v>23</v>
      </c>
      <c r="BA7" s="126">
        <v>24</v>
      </c>
      <c r="BB7" s="126"/>
      <c r="BC7" s="126"/>
      <c r="BD7" s="126"/>
      <c r="BE7" s="126"/>
      <c r="BF7" s="126"/>
      <c r="BG7" s="22"/>
      <c r="BH7" s="122">
        <v>25</v>
      </c>
      <c r="BI7" s="126">
        <v>26</v>
      </c>
      <c r="BJ7" s="126">
        <v>27</v>
      </c>
      <c r="BK7" s="126"/>
      <c r="BL7" s="126"/>
      <c r="BM7" s="126"/>
      <c r="BN7" s="22"/>
      <c r="BO7" s="359">
        <v>28</v>
      </c>
      <c r="BP7" s="126">
        <v>29</v>
      </c>
      <c r="BQ7" s="126">
        <v>30</v>
      </c>
      <c r="BR7" s="126"/>
      <c r="BS7" s="360"/>
      <c r="BT7" s="359">
        <v>31</v>
      </c>
      <c r="BU7" s="126">
        <v>32</v>
      </c>
      <c r="BV7" s="126">
        <v>33</v>
      </c>
      <c r="BW7" s="126"/>
      <c r="BX7" s="22"/>
      <c r="BY7" s="122">
        <v>34</v>
      </c>
      <c r="BZ7" s="126">
        <v>35</v>
      </c>
      <c r="CA7" s="126">
        <v>36</v>
      </c>
      <c r="CB7" s="126"/>
      <c r="CC7" s="22"/>
      <c r="CD7" s="122">
        <v>37</v>
      </c>
      <c r="CE7" s="72">
        <v>38</v>
      </c>
      <c r="CF7" s="360">
        <v>39</v>
      </c>
      <c r="CG7" s="359">
        <v>40</v>
      </c>
      <c r="CH7" s="126">
        <v>41</v>
      </c>
      <c r="CI7" s="126">
        <v>42</v>
      </c>
      <c r="CJ7" s="126"/>
      <c r="CK7" s="22"/>
      <c r="CL7" s="122">
        <v>43</v>
      </c>
      <c r="CM7" s="72">
        <v>44</v>
      </c>
      <c r="CN7" s="158"/>
      <c r="CO7" s="362">
        <v>46</v>
      </c>
      <c r="CP7" s="126">
        <v>47</v>
      </c>
      <c r="CQ7" s="126">
        <v>48</v>
      </c>
      <c r="CR7" s="126"/>
      <c r="CS7" s="126"/>
      <c r="CT7" s="126"/>
      <c r="CU7" s="126"/>
      <c r="CV7" s="126"/>
      <c r="CW7" s="22"/>
      <c r="CX7" s="122">
        <v>49</v>
      </c>
      <c r="CY7" s="126">
        <v>50</v>
      </c>
      <c r="CZ7" s="126">
        <v>51</v>
      </c>
      <c r="DA7" s="126"/>
      <c r="DB7" s="22"/>
      <c r="DC7" s="122">
        <v>52</v>
      </c>
      <c r="DD7" s="126">
        <v>53</v>
      </c>
      <c r="DE7" s="126">
        <v>54</v>
      </c>
      <c r="DF7" s="126"/>
      <c r="DG7" s="126"/>
      <c r="DH7" s="126"/>
      <c r="DI7" s="126"/>
      <c r="DJ7" s="126"/>
      <c r="DK7" s="126"/>
      <c r="DL7" s="126"/>
      <c r="DM7" s="360"/>
      <c r="DN7" s="359">
        <v>55</v>
      </c>
      <c r="DO7" s="126">
        <v>56</v>
      </c>
      <c r="DP7" s="126">
        <v>57</v>
      </c>
      <c r="DQ7" s="126"/>
      <c r="DR7" s="126"/>
      <c r="DS7" s="126"/>
      <c r="DT7" s="126"/>
      <c r="DU7" s="126"/>
      <c r="DV7" s="126"/>
      <c r="DW7" s="126"/>
      <c r="DX7" s="126"/>
      <c r="DY7" s="126"/>
      <c r="DZ7" s="360"/>
      <c r="EA7" s="359">
        <v>58</v>
      </c>
      <c r="EB7" s="126">
        <v>59</v>
      </c>
      <c r="EC7" s="126">
        <v>60</v>
      </c>
      <c r="ED7" s="126"/>
      <c r="EE7" s="360"/>
      <c r="EF7" s="359">
        <v>61</v>
      </c>
      <c r="EG7" s="126">
        <v>62</v>
      </c>
      <c r="EH7" s="126">
        <v>63</v>
      </c>
      <c r="EI7" s="126"/>
      <c r="EJ7" s="22"/>
      <c r="EK7" s="122">
        <v>64</v>
      </c>
      <c r="EL7" s="126">
        <v>65</v>
      </c>
      <c r="EM7" s="126">
        <v>66</v>
      </c>
      <c r="EN7" s="126"/>
      <c r="EO7" s="126"/>
      <c r="EP7" s="126"/>
      <c r="EQ7" s="126"/>
      <c r="ER7" s="126"/>
      <c r="ES7" s="22"/>
      <c r="ET7" s="122">
        <v>67</v>
      </c>
      <c r="EU7" s="72">
        <v>68</v>
      </c>
      <c r="EV7" s="72">
        <v>69</v>
      </c>
      <c r="EW7" s="72">
        <v>70</v>
      </c>
      <c r="EX7" s="72">
        <v>71</v>
      </c>
      <c r="EY7" s="72">
        <v>72</v>
      </c>
      <c r="EZ7" s="72">
        <v>73</v>
      </c>
      <c r="FA7" s="72">
        <v>74</v>
      </c>
      <c r="FB7" s="72">
        <v>75</v>
      </c>
      <c r="FC7" s="126"/>
      <c r="FD7" s="379"/>
      <c r="FE7" s="378">
        <v>76</v>
      </c>
      <c r="FF7" s="126">
        <v>77</v>
      </c>
      <c r="FG7" s="126"/>
      <c r="FH7" s="22"/>
      <c r="FI7" s="122"/>
      <c r="FJ7" s="126"/>
      <c r="FK7" s="126"/>
      <c r="FL7" s="389"/>
      <c r="FM7" s="126">
        <v>78</v>
      </c>
      <c r="FN7" s="126">
        <v>79</v>
      </c>
      <c r="FO7" s="126">
        <v>80</v>
      </c>
      <c r="FP7" s="126"/>
      <c r="FQ7" s="126"/>
      <c r="FR7" s="126"/>
      <c r="FS7" s="126"/>
      <c r="FT7" s="122"/>
      <c r="FU7" s="126"/>
      <c r="FV7" s="126"/>
      <c r="FW7" s="388"/>
      <c r="FX7" s="387"/>
      <c r="FY7" s="126"/>
      <c r="FZ7" s="126"/>
      <c r="GA7" s="22"/>
      <c r="GB7" s="387"/>
      <c r="GC7" s="22"/>
      <c r="GD7" s="122"/>
      <c r="GE7" s="379"/>
      <c r="GF7" s="378"/>
      <c r="GG7" s="126"/>
      <c r="GH7" s="126"/>
      <c r="GI7" s="22"/>
      <c r="GJ7" s="122"/>
      <c r="GK7" s="360"/>
      <c r="GL7" s="395"/>
      <c r="GM7" s="22"/>
      <c r="GN7" s="122">
        <v>81</v>
      </c>
      <c r="GO7" s="126">
        <v>82</v>
      </c>
      <c r="GP7" s="126">
        <v>83</v>
      </c>
      <c r="GQ7" s="126">
        <v>84</v>
      </c>
      <c r="GR7" s="110"/>
      <c r="GS7" s="110"/>
      <c r="GT7" s="110"/>
      <c r="GU7" s="110"/>
      <c r="GV7" s="110"/>
      <c r="GW7" s="110"/>
      <c r="GX7" s="376"/>
      <c r="GY7" s="377"/>
    </row>
    <row r="8" spans="1:207" ht="14.25" x14ac:dyDescent="0.2">
      <c r="A8" s="497" t="s">
        <v>57</v>
      </c>
      <c r="B8" s="498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136"/>
      <c r="O8" s="44"/>
      <c r="P8" s="15"/>
      <c r="Q8" s="15"/>
      <c r="R8" s="15"/>
      <c r="S8" s="15"/>
      <c r="T8" s="15"/>
      <c r="U8" s="15"/>
      <c r="V8" s="15"/>
      <c r="W8" s="15"/>
      <c r="X8" s="15"/>
      <c r="Y8" s="134"/>
      <c r="Z8" s="44"/>
      <c r="AA8" s="38"/>
      <c r="AB8" s="38"/>
      <c r="AC8" s="38"/>
      <c r="AD8" s="38"/>
      <c r="AE8" s="38"/>
      <c r="AF8" s="136"/>
      <c r="AG8" s="37"/>
      <c r="AH8" s="38"/>
      <c r="AI8" s="38"/>
      <c r="AJ8" s="38"/>
      <c r="AK8" s="38"/>
      <c r="AL8" s="38"/>
      <c r="AM8" s="268"/>
      <c r="AN8" s="161"/>
      <c r="AO8" s="38"/>
      <c r="AP8" s="38"/>
      <c r="AQ8" s="38"/>
      <c r="AR8" s="136"/>
      <c r="AS8" s="37"/>
      <c r="AT8" s="38"/>
      <c r="AU8" s="38"/>
      <c r="AV8" s="38"/>
      <c r="AW8" s="136"/>
      <c r="AX8" s="44"/>
      <c r="AY8" s="38"/>
      <c r="AZ8" s="38"/>
      <c r="BA8" s="38"/>
      <c r="BB8" s="38"/>
      <c r="BC8" s="38"/>
      <c r="BD8" s="38"/>
      <c r="BE8" s="38"/>
      <c r="BF8" s="38"/>
      <c r="BG8" s="268"/>
      <c r="BH8" s="160"/>
      <c r="BI8" s="38"/>
      <c r="BJ8" s="38"/>
      <c r="BK8" s="38"/>
      <c r="BL8" s="38"/>
      <c r="BM8" s="38"/>
      <c r="BN8" s="268"/>
      <c r="BO8" s="61"/>
      <c r="BP8" s="38"/>
      <c r="BQ8" s="38"/>
      <c r="BR8" s="38"/>
      <c r="BS8" s="136"/>
      <c r="BT8" s="61"/>
      <c r="BU8" s="38"/>
      <c r="BV8" s="38"/>
      <c r="BW8" s="38"/>
      <c r="BX8" s="268"/>
      <c r="BY8" s="161"/>
      <c r="BZ8" s="38"/>
      <c r="CA8" s="38"/>
      <c r="CB8" s="38"/>
      <c r="CC8" s="268"/>
      <c r="CD8" s="161"/>
      <c r="CE8" s="38"/>
      <c r="CF8" s="136"/>
      <c r="CG8" s="37"/>
      <c r="CH8" s="38"/>
      <c r="CI8" s="38"/>
      <c r="CJ8" s="38"/>
      <c r="CK8" s="268"/>
      <c r="CL8" s="161"/>
      <c r="CM8" s="38"/>
      <c r="CN8" s="136"/>
      <c r="CO8" s="44"/>
      <c r="CP8" s="38"/>
      <c r="CQ8" s="38"/>
      <c r="CR8" s="38"/>
      <c r="CS8" s="38"/>
      <c r="CT8" s="38"/>
      <c r="CU8" s="38"/>
      <c r="CV8" s="38"/>
      <c r="CW8" s="268"/>
      <c r="CX8" s="160"/>
      <c r="CY8" s="38"/>
      <c r="CZ8" s="38"/>
      <c r="DA8" s="38"/>
      <c r="DB8" s="268"/>
      <c r="DC8" s="161"/>
      <c r="DD8" s="38"/>
      <c r="DE8" s="38"/>
      <c r="DF8" s="38"/>
      <c r="DG8" s="38"/>
      <c r="DH8" s="38"/>
      <c r="DI8" s="38"/>
      <c r="DJ8" s="38"/>
      <c r="DK8" s="38"/>
      <c r="DL8" s="38"/>
      <c r="DM8" s="136"/>
      <c r="DN8" s="37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136"/>
      <c r="EA8" s="37"/>
      <c r="EB8" s="38"/>
      <c r="EC8" s="38"/>
      <c r="ED8" s="38"/>
      <c r="EE8" s="136"/>
      <c r="EF8" s="60"/>
      <c r="EG8" s="51"/>
      <c r="EH8" s="51"/>
      <c r="EI8" s="51"/>
      <c r="EJ8" s="144"/>
      <c r="EK8" s="139"/>
      <c r="EL8" s="51"/>
      <c r="EM8" s="51"/>
      <c r="EN8" s="51"/>
      <c r="EO8" s="51"/>
      <c r="EP8" s="51"/>
      <c r="EQ8" s="51"/>
      <c r="ER8" s="51"/>
      <c r="ES8" s="144"/>
      <c r="ET8" s="139"/>
      <c r="EU8" s="51"/>
      <c r="EV8" s="51"/>
      <c r="EW8" s="51"/>
      <c r="EX8" s="51"/>
      <c r="EY8" s="51"/>
      <c r="EZ8" s="51"/>
      <c r="FA8" s="51"/>
      <c r="FB8" s="51"/>
      <c r="FC8" s="51"/>
      <c r="FD8" s="133"/>
      <c r="FE8" s="60"/>
      <c r="FF8" s="51"/>
      <c r="FG8" s="51"/>
      <c r="FH8" s="144"/>
      <c r="FI8" s="139"/>
      <c r="FJ8" s="51"/>
      <c r="FK8" s="51"/>
      <c r="FL8" s="133"/>
      <c r="FM8" s="51"/>
      <c r="FN8" s="51"/>
      <c r="FO8" s="51"/>
      <c r="FP8" s="51"/>
      <c r="FQ8" s="51"/>
      <c r="FR8" s="51"/>
      <c r="FS8" s="51"/>
      <c r="FT8" s="139"/>
      <c r="FU8" s="51"/>
      <c r="FV8" s="51"/>
      <c r="FW8" s="133"/>
      <c r="FX8" s="60"/>
      <c r="FY8" s="51"/>
      <c r="FZ8" s="51"/>
      <c r="GA8" s="144"/>
      <c r="GB8" s="60"/>
      <c r="GC8" s="144"/>
      <c r="GD8" s="139"/>
      <c r="GE8" s="133"/>
      <c r="GF8" s="60"/>
      <c r="GG8" s="51"/>
      <c r="GH8" s="51"/>
      <c r="GI8" s="144"/>
      <c r="GJ8" s="139"/>
      <c r="GK8" s="133"/>
      <c r="GL8" s="60"/>
      <c r="GM8" s="144"/>
      <c r="GN8" s="396"/>
      <c r="GO8" s="154"/>
      <c r="GP8" s="154"/>
      <c r="GQ8" s="154"/>
      <c r="GR8" s="110"/>
      <c r="GS8" s="110"/>
      <c r="GT8" s="110"/>
      <c r="GU8" s="110"/>
      <c r="GV8" s="110"/>
      <c r="GW8" s="110"/>
      <c r="GX8" s="376"/>
      <c r="GY8" s="377"/>
    </row>
    <row r="9" spans="1:207" x14ac:dyDescent="0.2">
      <c r="A9" s="21" t="s">
        <v>2</v>
      </c>
      <c r="B9" s="65" t="s">
        <v>3</v>
      </c>
      <c r="C9" s="44">
        <v>35780892</v>
      </c>
      <c r="D9" s="15"/>
      <c r="E9" s="15"/>
      <c r="F9" s="15">
        <v>35781</v>
      </c>
      <c r="G9" s="15"/>
      <c r="H9" s="15">
        <f>SUM(F9:G9)</f>
        <v>35781</v>
      </c>
      <c r="I9" s="15"/>
      <c r="J9" s="15">
        <f>SUM(H9:I9)</f>
        <v>35781</v>
      </c>
      <c r="K9" s="15"/>
      <c r="L9" s="15">
        <f>SUM(J9:K9)</f>
        <v>35781</v>
      </c>
      <c r="M9" s="15"/>
      <c r="N9" s="134">
        <f>SUM(L9:M9)</f>
        <v>35781</v>
      </c>
      <c r="O9" s="44">
        <f>'[2]2016 ktgv kiadás_01'!$I$64</f>
        <v>0</v>
      </c>
      <c r="P9" s="15"/>
      <c r="Q9" s="15"/>
      <c r="R9" s="15"/>
      <c r="S9" s="15">
        <f>SUM(Q9:R9)</f>
        <v>0</v>
      </c>
      <c r="T9" s="15"/>
      <c r="U9" s="15">
        <f>SUM(S9:T9)</f>
        <v>0</v>
      </c>
      <c r="V9" s="15"/>
      <c r="W9" s="15">
        <f>SUM(U9:V9)</f>
        <v>0</v>
      </c>
      <c r="X9" s="15"/>
      <c r="Y9" s="134">
        <f>SUM(W9:X9)</f>
        <v>0</v>
      </c>
      <c r="Z9" s="44">
        <f>'[2]2016 ktgv kiadás_01'!$O$64</f>
        <v>0</v>
      </c>
      <c r="AA9" s="15"/>
      <c r="AB9" s="15"/>
      <c r="AC9" s="15"/>
      <c r="AD9" s="15">
        <f>SUM(AB9:AC9)</f>
        <v>0</v>
      </c>
      <c r="AE9" s="15"/>
      <c r="AF9" s="134">
        <f>SUM(AD9:AE9)</f>
        <v>0</v>
      </c>
      <c r="AG9" s="37">
        <f>'[2]2016 ktgv kiadás_01'!$Q$64</f>
        <v>0</v>
      </c>
      <c r="AH9" s="15"/>
      <c r="AI9" s="15"/>
      <c r="AJ9" s="15"/>
      <c r="AK9" s="15">
        <f>SUM(AI9:AJ9)</f>
        <v>0</v>
      </c>
      <c r="AL9" s="15"/>
      <c r="AM9" s="16">
        <f>SUM(AK9:AL9)</f>
        <v>0</v>
      </c>
      <c r="AN9" s="161">
        <f>'[2]2016 ktgv kiadás_01'!$S$64</f>
        <v>0</v>
      </c>
      <c r="AO9" s="15"/>
      <c r="AP9" s="15"/>
      <c r="AQ9" s="15"/>
      <c r="AR9" s="134">
        <f>SUM(AP9:AQ9)</f>
        <v>0</v>
      </c>
      <c r="AS9" s="37">
        <f>'[2]2016 ktgv kiadás_01'!$U$64</f>
        <v>0</v>
      </c>
      <c r="AT9" s="15"/>
      <c r="AU9" s="15"/>
      <c r="AV9" s="15"/>
      <c r="AW9" s="134">
        <f>SUM(AU9:AV9)</f>
        <v>0</v>
      </c>
      <c r="AX9" s="44">
        <v>2520000</v>
      </c>
      <c r="AY9" s="15">
        <v>141</v>
      </c>
      <c r="AZ9" s="15">
        <v>315</v>
      </c>
      <c r="BA9" s="15">
        <v>2976</v>
      </c>
      <c r="BB9" s="15"/>
      <c r="BC9" s="15">
        <f>SUM(BA9:BB9)</f>
        <v>2976</v>
      </c>
      <c r="BD9" s="15"/>
      <c r="BE9" s="15">
        <f>SUM(BC9:BD9)</f>
        <v>2976</v>
      </c>
      <c r="BF9" s="15">
        <v>-131</v>
      </c>
      <c r="BG9" s="16">
        <f>SUM(BE9:BF9)</f>
        <v>2845</v>
      </c>
      <c r="BH9" s="161">
        <f>'[2]2016 ktgv kiadás_01'!$Y$64</f>
        <v>0</v>
      </c>
      <c r="BI9" s="15"/>
      <c r="BJ9" s="15"/>
      <c r="BK9" s="15"/>
      <c r="BL9" s="15">
        <f>SUM(BJ9:BK9)</f>
        <v>0</v>
      </c>
      <c r="BM9" s="15"/>
      <c r="BN9" s="16">
        <f>SUM(BL9:BM9)</f>
        <v>0</v>
      </c>
      <c r="BO9" s="44">
        <v>0</v>
      </c>
      <c r="BP9" s="15"/>
      <c r="BQ9" s="15"/>
      <c r="BR9" s="15"/>
      <c r="BS9" s="134">
        <f>SUM(BQ9:BR9)</f>
        <v>0</v>
      </c>
      <c r="BT9" s="44">
        <v>0</v>
      </c>
      <c r="BU9" s="15"/>
      <c r="BV9" s="15"/>
      <c r="BW9" s="15"/>
      <c r="BX9" s="16">
        <f>SUM(BV9:BW9)</f>
        <v>0</v>
      </c>
      <c r="BY9" s="161">
        <f>'[2]2016 ktgv kiadás_01'!$AA$64</f>
        <v>0</v>
      </c>
      <c r="BZ9" s="15"/>
      <c r="CA9" s="15"/>
      <c r="CB9" s="15"/>
      <c r="CC9" s="16">
        <f>SUM(CA9:CB9)</f>
        <v>0</v>
      </c>
      <c r="CD9" s="161"/>
      <c r="CE9" s="15"/>
      <c r="CF9" s="134"/>
      <c r="CG9" s="37"/>
      <c r="CH9" s="15"/>
      <c r="CI9" s="15"/>
      <c r="CJ9" s="15"/>
      <c r="CK9" s="16">
        <f>SUM(CI9:CJ9)</f>
        <v>0</v>
      </c>
      <c r="CL9" s="161">
        <f>'[2]2016 ktgv kiadás_01'!$AK$64</f>
        <v>0</v>
      </c>
      <c r="CM9" s="15"/>
      <c r="CN9" s="134"/>
      <c r="CO9" s="44">
        <f>'[2]2016 ktgv kiadás_01'!$AM$64</f>
        <v>0</v>
      </c>
      <c r="CP9" s="15"/>
      <c r="CQ9" s="15"/>
      <c r="CR9" s="15"/>
      <c r="CS9" s="15">
        <f>SUM(CQ9:CR9)</f>
        <v>0</v>
      </c>
      <c r="CT9" s="15"/>
      <c r="CU9" s="15">
        <f>SUM(CS9:CT9)</f>
        <v>0</v>
      </c>
      <c r="CV9" s="15"/>
      <c r="CW9" s="16">
        <f>SUM(CU9:CV9)</f>
        <v>0</v>
      </c>
      <c r="CX9" s="161">
        <f>'[2]2016 ktgv kiadás_01'!$AO$64</f>
        <v>0</v>
      </c>
      <c r="CY9" s="15"/>
      <c r="CZ9" s="15"/>
      <c r="DA9" s="15"/>
      <c r="DB9" s="16">
        <f>SUM(CZ9:DA9)</f>
        <v>0</v>
      </c>
      <c r="DC9" s="161">
        <v>0</v>
      </c>
      <c r="DD9" s="15"/>
      <c r="DE9" s="15"/>
      <c r="DF9" s="15"/>
      <c r="DG9" s="15">
        <f>SUM(DE9:DF9)</f>
        <v>0</v>
      </c>
      <c r="DH9" s="15"/>
      <c r="DI9" s="15">
        <f>SUM(DG9:DH9)</f>
        <v>0</v>
      </c>
      <c r="DJ9" s="15"/>
      <c r="DK9" s="15">
        <f>SUM(DI9:DJ9)</f>
        <v>0</v>
      </c>
      <c r="DL9" s="15"/>
      <c r="DM9" s="134">
        <f>SUM(DK9:DL9)</f>
        <v>0</v>
      </c>
      <c r="DN9" s="44"/>
      <c r="DO9" s="15"/>
      <c r="DP9" s="15"/>
      <c r="DQ9" s="15"/>
      <c r="DR9" s="15"/>
      <c r="DS9" s="15"/>
      <c r="DT9" s="15">
        <f>SUM(DP9:DS9)</f>
        <v>0</v>
      </c>
      <c r="DU9" s="15"/>
      <c r="DV9" s="15"/>
      <c r="DW9" s="15"/>
      <c r="DX9" s="15">
        <f>SUM(DV9:DW9)</f>
        <v>0</v>
      </c>
      <c r="DY9" s="15"/>
      <c r="DZ9" s="134">
        <f>SUM(DX9:DY9)</f>
        <v>0</v>
      </c>
      <c r="EA9" s="37">
        <v>0</v>
      </c>
      <c r="EB9" s="15"/>
      <c r="EC9" s="15"/>
      <c r="ED9" s="15"/>
      <c r="EE9" s="134">
        <f>SUM(EC9:ED9)</f>
        <v>0</v>
      </c>
      <c r="EF9" s="44"/>
      <c r="EG9" s="15"/>
      <c r="EH9" s="15"/>
      <c r="EI9" s="15"/>
      <c r="EJ9" s="16">
        <f>SUM(EH9:EI9)</f>
        <v>0</v>
      </c>
      <c r="EK9" s="140"/>
      <c r="EL9" s="15"/>
      <c r="EM9" s="15"/>
      <c r="EN9" s="15"/>
      <c r="EO9" s="15">
        <f>SUM(EM9:EN9)</f>
        <v>0</v>
      </c>
      <c r="EP9" s="15"/>
      <c r="EQ9" s="15">
        <f>SUM(EO9:EP9)</f>
        <v>0</v>
      </c>
      <c r="ER9" s="15"/>
      <c r="ES9" s="16">
        <f>SUM(EQ9:ER9)</f>
        <v>0</v>
      </c>
      <c r="ET9" s="140"/>
      <c r="EU9" s="15"/>
      <c r="EV9" s="15"/>
      <c r="EW9" s="52"/>
      <c r="EX9" s="15"/>
      <c r="EY9" s="15"/>
      <c r="EZ9" s="52"/>
      <c r="FA9" s="15"/>
      <c r="FB9" s="15"/>
      <c r="FC9" s="15"/>
      <c r="FD9" s="134">
        <f>SUM(FB9:FC9)</f>
        <v>0</v>
      </c>
      <c r="FE9" s="37"/>
      <c r="FF9" s="15"/>
      <c r="FG9" s="15"/>
      <c r="FH9" s="16"/>
      <c r="FI9" s="161"/>
      <c r="FJ9" s="15">
        <f t="shared" ref="FJ9:FJ41" si="0">SUM(FI9:FI9)</f>
        <v>0</v>
      </c>
      <c r="FK9" s="15"/>
      <c r="FL9" s="134">
        <f>SUM(FJ9:FK9)</f>
        <v>0</v>
      </c>
      <c r="FM9" s="52"/>
      <c r="FN9" s="15"/>
      <c r="FO9" s="15"/>
      <c r="FP9" s="15"/>
      <c r="FQ9" s="15">
        <f>SUM(FO9:FP9)</f>
        <v>0</v>
      </c>
      <c r="FR9" s="15"/>
      <c r="FS9" s="15">
        <f>SUM(FQ9:FR9)</f>
        <v>0</v>
      </c>
      <c r="FT9" s="161"/>
      <c r="FU9" s="15">
        <f>SUM(FT9)</f>
        <v>0</v>
      </c>
      <c r="FV9" s="15"/>
      <c r="FW9" s="134">
        <f>SUM(FU9:FV9)</f>
        <v>0</v>
      </c>
      <c r="FX9" s="37"/>
      <c r="FY9" s="15">
        <f>SUM(FX9)</f>
        <v>0</v>
      </c>
      <c r="FZ9" s="15"/>
      <c r="GA9" s="16">
        <f>SUM(FY9:FZ9)</f>
        <v>0</v>
      </c>
      <c r="GB9" s="37"/>
      <c r="GC9" s="16"/>
      <c r="GD9" s="161"/>
      <c r="GE9" s="134"/>
      <c r="GF9" s="37"/>
      <c r="GG9" s="15">
        <f>SUM(GF9)</f>
        <v>0</v>
      </c>
      <c r="GH9" s="15"/>
      <c r="GI9" s="16"/>
      <c r="GJ9" s="161"/>
      <c r="GK9" s="134">
        <f>SUM(GJ9)</f>
        <v>0</v>
      </c>
      <c r="GL9" s="37"/>
      <c r="GM9" s="16"/>
      <c r="GN9" s="299">
        <f>C9+O9+Z9+AG9+AN9+AS9+AX9+BH9+BO9+BT9+BY9+CD9+CG9+CL9+CO9+CX9+DC9+DN9+EA9+EF9+EK9+ET9+EW9+EZ9+FM9</f>
        <v>38300892</v>
      </c>
      <c r="GO9" s="12">
        <f t="shared" ref="GO9:GO15" si="1">D9+P9+AA9+AH9+AO9+AT9+AY9+BI9+BP9+BU9+BZ9+CE9+CH9+CM9+CP9+CY9+DD9+DO9+EB9+EG9+EL9+EU9+EX9+FA9+FF9+FN9</f>
        <v>141</v>
      </c>
      <c r="GP9" s="12">
        <v>315</v>
      </c>
      <c r="GQ9" s="12">
        <v>38757</v>
      </c>
      <c r="GR9" s="113">
        <f>G9+R9+BK9+DF9+DS9+EN9+FC9+FI9</f>
        <v>0</v>
      </c>
      <c r="GS9" s="113">
        <f>SUM(GQ9:GR9)</f>
        <v>38757</v>
      </c>
      <c r="GT9" s="113">
        <f t="shared" ref="GT9:GT18" si="2">I9+T9+AA9+AT9+BB9+BP9+BZ9+CH9+CT9+CY9+DH9+EB9+EU9+FP9+FT9+FX9+GF9</f>
        <v>0</v>
      </c>
      <c r="GU9" s="113">
        <f>SUM(GS9:GT9)</f>
        <v>38757</v>
      </c>
      <c r="GV9" s="113">
        <f t="shared" ref="GV9:GV19" si="3">K9+AC9+AJ9+BD9+DJ9+EP9+V9</f>
        <v>0</v>
      </c>
      <c r="GW9" s="113">
        <f>SUM(GU9:GV9)</f>
        <v>38757</v>
      </c>
      <c r="GX9" s="380">
        <f>M9+X9+AE9+AL9+AQ9+AV9+BF9+BM9+BR9+BW9+CB9+CJ9+CV9+DA9+DL9+DY9+ED9+EI9+ER9+FK9+FV9+GB9+GD9+GJ9+FG9+GH9+FZ9+FR9</f>
        <v>-131</v>
      </c>
      <c r="GY9" s="381">
        <f>SUM(GW9:GX9)</f>
        <v>38626</v>
      </c>
    </row>
    <row r="10" spans="1:207" ht="22.5" customHeight="1" x14ac:dyDescent="0.2">
      <c r="A10" s="21" t="s">
        <v>4</v>
      </c>
      <c r="B10" s="66" t="s">
        <v>39</v>
      </c>
      <c r="C10" s="44">
        <v>6977274</v>
      </c>
      <c r="D10" s="15"/>
      <c r="E10" s="15"/>
      <c r="F10" s="15">
        <v>6977</v>
      </c>
      <c r="G10" s="15"/>
      <c r="H10" s="15">
        <f t="shared" ref="H10:H41" si="4">SUM(F10:G10)</f>
        <v>6977</v>
      </c>
      <c r="I10" s="15"/>
      <c r="J10" s="15">
        <f t="shared" ref="J10:J41" si="5">SUM(H10:I10)</f>
        <v>6977</v>
      </c>
      <c r="K10" s="15"/>
      <c r="L10" s="15">
        <f t="shared" ref="L10:L41" si="6">SUM(J10:K10)</f>
        <v>6977</v>
      </c>
      <c r="M10" s="15"/>
      <c r="N10" s="134">
        <f t="shared" ref="N10:N41" si="7">SUM(L10:M10)</f>
        <v>6977</v>
      </c>
      <c r="O10" s="44">
        <v>0</v>
      </c>
      <c r="P10" s="15"/>
      <c r="Q10" s="15"/>
      <c r="R10" s="15"/>
      <c r="S10" s="15">
        <f t="shared" ref="S10:S40" si="8">SUM(Q10:R10)</f>
        <v>0</v>
      </c>
      <c r="T10" s="15"/>
      <c r="U10" s="15">
        <f t="shared" ref="U10:U40" si="9">SUM(S10:T10)</f>
        <v>0</v>
      </c>
      <c r="V10" s="15"/>
      <c r="W10" s="15">
        <f t="shared" ref="W10:W41" si="10">SUM(U10:V10)</f>
        <v>0</v>
      </c>
      <c r="X10" s="15"/>
      <c r="Y10" s="134">
        <f t="shared" ref="Y10:Y41" si="11">SUM(W10:X10)</f>
        <v>0</v>
      </c>
      <c r="Z10" s="44">
        <v>0</v>
      </c>
      <c r="AA10" s="15"/>
      <c r="AB10" s="15"/>
      <c r="AC10" s="15"/>
      <c r="AD10" s="15">
        <f t="shared" ref="AD10:AD41" si="12">SUM(AB10:AC10)</f>
        <v>0</v>
      </c>
      <c r="AE10" s="15"/>
      <c r="AF10" s="134">
        <f t="shared" ref="AF10:AF41" si="13">SUM(AD10:AE10)</f>
        <v>0</v>
      </c>
      <c r="AG10" s="37">
        <v>0</v>
      </c>
      <c r="AH10" s="15"/>
      <c r="AI10" s="15"/>
      <c r="AJ10" s="15"/>
      <c r="AK10" s="15">
        <f t="shared" ref="AK10:AK40" si="14">SUM(AI10:AJ10)</f>
        <v>0</v>
      </c>
      <c r="AL10" s="15"/>
      <c r="AM10" s="16">
        <f t="shared" ref="AM10:AM40" si="15">SUM(AK10:AL10)</f>
        <v>0</v>
      </c>
      <c r="AN10" s="161">
        <v>0</v>
      </c>
      <c r="AO10" s="15"/>
      <c r="AP10" s="15"/>
      <c r="AQ10" s="15"/>
      <c r="AR10" s="134">
        <f t="shared" ref="AR10:AR41" si="16">SUM(AP10:AQ10)</f>
        <v>0</v>
      </c>
      <c r="AS10" s="37">
        <v>0</v>
      </c>
      <c r="AT10" s="15"/>
      <c r="AU10" s="15"/>
      <c r="AV10" s="15"/>
      <c r="AW10" s="134">
        <f t="shared" ref="AW10:AW41" si="17">SUM(AU10:AV10)</f>
        <v>0</v>
      </c>
      <c r="AX10" s="44">
        <v>496650</v>
      </c>
      <c r="AY10" s="15">
        <v>2</v>
      </c>
      <c r="AZ10" s="15">
        <v>62</v>
      </c>
      <c r="BA10" s="15">
        <v>561</v>
      </c>
      <c r="BB10" s="15"/>
      <c r="BC10" s="15">
        <f t="shared" ref="BC10:BC41" si="18">SUM(BA10:BB10)</f>
        <v>561</v>
      </c>
      <c r="BD10" s="15"/>
      <c r="BE10" s="15">
        <f t="shared" ref="BE10:BE41" si="19">SUM(BC10:BD10)</f>
        <v>561</v>
      </c>
      <c r="BF10" s="15"/>
      <c r="BG10" s="16">
        <f t="shared" ref="BG10:BG41" si="20">SUM(BE10:BF10)</f>
        <v>561</v>
      </c>
      <c r="BH10" s="161">
        <v>0</v>
      </c>
      <c r="BI10" s="15"/>
      <c r="BJ10" s="15"/>
      <c r="BK10" s="15"/>
      <c r="BL10" s="15">
        <f t="shared" ref="BL10:BL40" si="21">SUM(BJ10:BK10)</f>
        <v>0</v>
      </c>
      <c r="BM10" s="15"/>
      <c r="BN10" s="16">
        <f t="shared" ref="BN10:BN41" si="22">SUM(BL10:BM10)</f>
        <v>0</v>
      </c>
      <c r="BO10" s="44">
        <v>0</v>
      </c>
      <c r="BP10" s="15"/>
      <c r="BQ10" s="15"/>
      <c r="BR10" s="15"/>
      <c r="BS10" s="134">
        <f t="shared" ref="BS10:BS40" si="23">SUM(BQ10:BR10)</f>
        <v>0</v>
      </c>
      <c r="BT10" s="44">
        <v>0</v>
      </c>
      <c r="BU10" s="15"/>
      <c r="BV10" s="15"/>
      <c r="BW10" s="15"/>
      <c r="BX10" s="16">
        <f t="shared" ref="BX10:BX40" si="24">SUM(BV10:BW10)</f>
        <v>0</v>
      </c>
      <c r="BY10" s="161">
        <v>0</v>
      </c>
      <c r="BZ10" s="15"/>
      <c r="CA10" s="15"/>
      <c r="CB10" s="15"/>
      <c r="CC10" s="16">
        <f t="shared" ref="CC10:CC41" si="25">SUM(CA10:CB10)</f>
        <v>0</v>
      </c>
      <c r="CD10" s="161">
        <v>0</v>
      </c>
      <c r="CE10" s="15"/>
      <c r="CF10" s="134"/>
      <c r="CG10" s="37">
        <v>0</v>
      </c>
      <c r="CH10" s="15"/>
      <c r="CI10" s="15"/>
      <c r="CJ10" s="15"/>
      <c r="CK10" s="16">
        <f t="shared" ref="CK10:CK41" si="26">SUM(CI10:CJ10)</f>
        <v>0</v>
      </c>
      <c r="CL10" s="161">
        <v>0</v>
      </c>
      <c r="CM10" s="15"/>
      <c r="CN10" s="134"/>
      <c r="CO10" s="44">
        <v>0</v>
      </c>
      <c r="CP10" s="15"/>
      <c r="CQ10" s="15"/>
      <c r="CR10" s="15"/>
      <c r="CS10" s="15">
        <f t="shared" ref="CS10:CS41" si="27">SUM(CQ10:CR10)</f>
        <v>0</v>
      </c>
      <c r="CT10" s="15"/>
      <c r="CU10" s="15">
        <f t="shared" ref="CU10:CU41" si="28">SUM(CS10:CT10)</f>
        <v>0</v>
      </c>
      <c r="CV10" s="15"/>
      <c r="CW10" s="16">
        <f t="shared" ref="CW10:CW41" si="29">SUM(CU10:CV10)</f>
        <v>0</v>
      </c>
      <c r="CX10" s="161">
        <v>0</v>
      </c>
      <c r="CY10" s="15"/>
      <c r="CZ10" s="15"/>
      <c r="DA10" s="15"/>
      <c r="DB10" s="16">
        <f t="shared" ref="DB10:DB41" si="30">SUM(CZ10:DA10)</f>
        <v>0</v>
      </c>
      <c r="DC10" s="161">
        <v>0</v>
      </c>
      <c r="DD10" s="15"/>
      <c r="DE10" s="15"/>
      <c r="DF10" s="15"/>
      <c r="DG10" s="15">
        <f t="shared" ref="DG10:DG40" si="31">SUM(DE10:DF10)</f>
        <v>0</v>
      </c>
      <c r="DH10" s="15"/>
      <c r="DI10" s="15">
        <f t="shared" ref="DI10:DI41" si="32">SUM(DG10:DH10)</f>
        <v>0</v>
      </c>
      <c r="DJ10" s="15"/>
      <c r="DK10" s="15">
        <f t="shared" ref="DK10:DK41" si="33">SUM(DI10:DJ10)</f>
        <v>0</v>
      </c>
      <c r="DL10" s="15"/>
      <c r="DM10" s="134">
        <f t="shared" ref="DM10:DM41" si="34">SUM(DK10:DL10)</f>
        <v>0</v>
      </c>
      <c r="DN10" s="44"/>
      <c r="DO10" s="15"/>
      <c r="DP10" s="15"/>
      <c r="DQ10" s="15"/>
      <c r="DR10" s="15"/>
      <c r="DS10" s="15"/>
      <c r="DT10" s="15">
        <f t="shared" ref="DT10:DT40" si="35">SUM(DP10:DS10)</f>
        <v>0</v>
      </c>
      <c r="DU10" s="15"/>
      <c r="DV10" s="15"/>
      <c r="DW10" s="15"/>
      <c r="DX10" s="15">
        <f t="shared" ref="DX10:DX23" si="36">SUM(DV10:DW10)</f>
        <v>0</v>
      </c>
      <c r="DY10" s="15"/>
      <c r="DZ10" s="134">
        <f t="shared" ref="DZ10:DZ41" si="37">SUM(DX10:DY10)</f>
        <v>0</v>
      </c>
      <c r="EA10" s="37">
        <v>0</v>
      </c>
      <c r="EB10" s="15"/>
      <c r="EC10" s="15"/>
      <c r="ED10" s="15"/>
      <c r="EE10" s="134">
        <f t="shared" ref="EE10:EE40" si="38">SUM(EC10:ED10)</f>
        <v>0</v>
      </c>
      <c r="EF10" s="44"/>
      <c r="EG10" s="15"/>
      <c r="EH10" s="15"/>
      <c r="EI10" s="15"/>
      <c r="EJ10" s="16">
        <f t="shared" ref="EJ10:EJ40" si="39">SUM(EH10:EI10)</f>
        <v>0</v>
      </c>
      <c r="EK10" s="140"/>
      <c r="EL10" s="15"/>
      <c r="EM10" s="15"/>
      <c r="EN10" s="15"/>
      <c r="EO10" s="15">
        <f t="shared" ref="EO10:EO41" si="40">SUM(EM10:EN10)</f>
        <v>0</v>
      </c>
      <c r="EP10" s="15"/>
      <c r="EQ10" s="15">
        <f t="shared" ref="EQ10:EQ41" si="41">SUM(EO10:EP10)</f>
        <v>0</v>
      </c>
      <c r="ER10" s="15"/>
      <c r="ES10" s="16">
        <f t="shared" ref="ES10:ES41" si="42">SUM(EQ10:ER10)</f>
        <v>0</v>
      </c>
      <c r="ET10" s="140"/>
      <c r="EU10" s="15"/>
      <c r="EV10" s="15"/>
      <c r="EW10" s="52"/>
      <c r="EX10" s="15"/>
      <c r="EY10" s="15"/>
      <c r="EZ10" s="52"/>
      <c r="FA10" s="15"/>
      <c r="FB10" s="15"/>
      <c r="FC10" s="15"/>
      <c r="FD10" s="134">
        <f t="shared" ref="FD10:FD40" si="43">SUM(FB10:FC10)</f>
        <v>0</v>
      </c>
      <c r="FE10" s="37"/>
      <c r="FF10" s="15"/>
      <c r="FG10" s="15"/>
      <c r="FH10" s="16"/>
      <c r="FI10" s="161"/>
      <c r="FJ10" s="15">
        <f t="shared" si="0"/>
        <v>0</v>
      </c>
      <c r="FK10" s="15"/>
      <c r="FL10" s="134">
        <f t="shared" ref="FL10:FL41" si="44">SUM(FJ10:FK10)</f>
        <v>0</v>
      </c>
      <c r="FM10" s="52"/>
      <c r="FN10" s="15"/>
      <c r="FO10" s="15"/>
      <c r="FP10" s="15"/>
      <c r="FQ10" s="15">
        <f t="shared" ref="FQ10:FQ41" si="45">SUM(FO10:FP10)</f>
        <v>0</v>
      </c>
      <c r="FR10" s="15"/>
      <c r="FS10" s="15">
        <f t="shared" ref="FS10:FS40" si="46">SUM(FQ10:FR10)</f>
        <v>0</v>
      </c>
      <c r="FT10" s="161"/>
      <c r="FU10" s="15">
        <f t="shared" ref="FU10:FU41" si="47">SUM(FT10)</f>
        <v>0</v>
      </c>
      <c r="FV10" s="15"/>
      <c r="FW10" s="134">
        <f t="shared" ref="FW10:FW14" si="48">SUM(FU10:FV10)</f>
        <v>0</v>
      </c>
      <c r="FX10" s="37"/>
      <c r="FY10" s="15">
        <f t="shared" ref="FY10:FY41" si="49">SUM(FX10)</f>
        <v>0</v>
      </c>
      <c r="FZ10" s="15"/>
      <c r="GA10" s="16">
        <f t="shared" ref="GA10:GA40" si="50">SUM(FY10:FZ10)</f>
        <v>0</v>
      </c>
      <c r="GB10" s="37"/>
      <c r="GC10" s="16"/>
      <c r="GD10" s="161"/>
      <c r="GE10" s="134"/>
      <c r="GF10" s="37"/>
      <c r="GG10" s="15">
        <f t="shared" ref="GG10:GG41" si="51">SUM(GF10)</f>
        <v>0</v>
      </c>
      <c r="GH10" s="15"/>
      <c r="GI10" s="16"/>
      <c r="GJ10" s="161"/>
      <c r="GK10" s="134">
        <f t="shared" ref="GK10:GK41" si="52">SUM(GJ10)</f>
        <v>0</v>
      </c>
      <c r="GL10" s="37"/>
      <c r="GM10" s="16"/>
      <c r="GN10" s="299">
        <f>C10+O10+Z10+AG10+AN10+AS10+AX10+BH10+BO10+BT10+BY10+CD10+CG10+CL10+CO10+CX10+DC10+DN10+EA10+EF10+EK10+ET10+EW10+EZ10+FM10</f>
        <v>7473924</v>
      </c>
      <c r="GO10" s="12">
        <f t="shared" si="1"/>
        <v>2</v>
      </c>
      <c r="GP10" s="12">
        <v>62</v>
      </c>
      <c r="GQ10" s="12">
        <v>7538</v>
      </c>
      <c r="GR10" s="113">
        <f>G10+R10+BK10+DF10+DS10+EN10+FC10+FI10</f>
        <v>0</v>
      </c>
      <c r="GS10" s="113">
        <f t="shared" ref="GS10:GS41" si="53">SUM(GQ10:GR10)</f>
        <v>7538</v>
      </c>
      <c r="GT10" s="113">
        <f t="shared" si="2"/>
        <v>0</v>
      </c>
      <c r="GU10" s="113">
        <f t="shared" ref="GU10:GU41" si="54">SUM(GS10:GT10)</f>
        <v>7538</v>
      </c>
      <c r="GV10" s="113">
        <f t="shared" si="3"/>
        <v>0</v>
      </c>
      <c r="GW10" s="113">
        <f t="shared" ref="GW10:GW40" si="55">SUM(GU10:GV10)</f>
        <v>7538</v>
      </c>
      <c r="GX10" s="380">
        <f t="shared" ref="GX10:GX22" si="56">M10+X10+AE10+AL10+AQ10+AV10+BF10+BM10+BR10+BW10+CB10+CJ10+CV10+DA10+DL10+DY10+ED10+EI10+ER10+FK10+FV10+GB10+GD10+GJ10+FG10+GH10+FZ10+FR10</f>
        <v>0</v>
      </c>
      <c r="GY10" s="381">
        <f t="shared" ref="GY10:GY41" si="57">SUM(GW10:GX10)</f>
        <v>7538</v>
      </c>
    </row>
    <row r="11" spans="1:207" x14ac:dyDescent="0.2">
      <c r="A11" s="21" t="s">
        <v>5</v>
      </c>
      <c r="B11" s="65" t="s">
        <v>71</v>
      </c>
      <c r="C11" s="44">
        <v>145799742</v>
      </c>
      <c r="D11" s="15">
        <v>7677</v>
      </c>
      <c r="E11" s="15"/>
      <c r="F11" s="15">
        <v>153477</v>
      </c>
      <c r="G11" s="15"/>
      <c r="H11" s="15">
        <f t="shared" si="4"/>
        <v>153477</v>
      </c>
      <c r="I11" s="15">
        <f>-800+265-408</f>
        <v>-943</v>
      </c>
      <c r="J11" s="15">
        <f t="shared" si="5"/>
        <v>152534</v>
      </c>
      <c r="K11" s="15">
        <v>1599</v>
      </c>
      <c r="L11" s="15">
        <f t="shared" si="6"/>
        <v>154133</v>
      </c>
      <c r="M11" s="15">
        <f>-2926-83</f>
        <v>-3009</v>
      </c>
      <c r="N11" s="134">
        <f t="shared" si="7"/>
        <v>151124</v>
      </c>
      <c r="O11" s="44">
        <v>12379200</v>
      </c>
      <c r="P11" s="15">
        <f>4687+6414+3000</f>
        <v>14101</v>
      </c>
      <c r="Q11" s="15">
        <v>26480</v>
      </c>
      <c r="R11" s="15">
        <v>-600</v>
      </c>
      <c r="S11" s="15">
        <f t="shared" si="8"/>
        <v>25880</v>
      </c>
      <c r="T11" s="15">
        <v>-265</v>
      </c>
      <c r="U11" s="15">
        <f t="shared" si="9"/>
        <v>25615</v>
      </c>
      <c r="V11" s="15">
        <f>2400+762</f>
        <v>3162</v>
      </c>
      <c r="W11" s="15">
        <f t="shared" si="10"/>
        <v>28777</v>
      </c>
      <c r="X11" s="15">
        <v>-3021</v>
      </c>
      <c r="Y11" s="134">
        <f t="shared" si="11"/>
        <v>25756</v>
      </c>
      <c r="Z11" s="44">
        <v>9525000</v>
      </c>
      <c r="AA11" s="15"/>
      <c r="AB11" s="15">
        <v>9525</v>
      </c>
      <c r="AC11" s="15">
        <v>500</v>
      </c>
      <c r="AD11" s="15">
        <f t="shared" si="12"/>
        <v>10025</v>
      </c>
      <c r="AE11" s="15">
        <v>0</v>
      </c>
      <c r="AF11" s="134">
        <f t="shared" si="13"/>
        <v>10025</v>
      </c>
      <c r="AG11" s="44">
        <f>'[2]2016 ktgv kiadás_01'!$Q$162</f>
        <v>0</v>
      </c>
      <c r="AH11" s="15"/>
      <c r="AI11" s="15"/>
      <c r="AJ11" s="15"/>
      <c r="AK11" s="15">
        <f t="shared" si="14"/>
        <v>0</v>
      </c>
      <c r="AL11" s="15"/>
      <c r="AM11" s="16">
        <f t="shared" si="15"/>
        <v>0</v>
      </c>
      <c r="AN11" s="140">
        <v>20502829</v>
      </c>
      <c r="AO11" s="15"/>
      <c r="AP11" s="15">
        <v>20503</v>
      </c>
      <c r="AQ11" s="15">
        <v>1481</v>
      </c>
      <c r="AR11" s="134">
        <f t="shared" si="16"/>
        <v>21984</v>
      </c>
      <c r="AS11" s="44">
        <v>58936391</v>
      </c>
      <c r="AT11" s="15">
        <v>800</v>
      </c>
      <c r="AU11" s="15">
        <v>59736</v>
      </c>
      <c r="AV11" s="15">
        <v>-3658</v>
      </c>
      <c r="AW11" s="134">
        <f t="shared" si="17"/>
        <v>56078</v>
      </c>
      <c r="AX11" s="44">
        <v>6661700</v>
      </c>
      <c r="AY11" s="15">
        <v>0</v>
      </c>
      <c r="AZ11" s="15"/>
      <c r="BA11" s="15">
        <v>6662</v>
      </c>
      <c r="BB11" s="15">
        <f>407+1062</f>
        <v>1469</v>
      </c>
      <c r="BC11" s="15">
        <f t="shared" si="18"/>
        <v>8131</v>
      </c>
      <c r="BD11" s="15">
        <f>621+2622</f>
        <v>3243</v>
      </c>
      <c r="BE11" s="15">
        <f t="shared" si="19"/>
        <v>11374</v>
      </c>
      <c r="BF11" s="15">
        <v>1746</v>
      </c>
      <c r="BG11" s="16">
        <f t="shared" si="20"/>
        <v>13120</v>
      </c>
      <c r="BH11" s="140">
        <f>'[2]2016 ktgv kiadás_01'!$Y$162</f>
        <v>0</v>
      </c>
      <c r="BI11" s="15"/>
      <c r="BJ11" s="15"/>
      <c r="BK11" s="15"/>
      <c r="BL11" s="15">
        <f t="shared" si="21"/>
        <v>0</v>
      </c>
      <c r="BM11" s="15"/>
      <c r="BN11" s="16">
        <f t="shared" si="22"/>
        <v>0</v>
      </c>
      <c r="BO11" s="44">
        <v>0</v>
      </c>
      <c r="BP11" s="15"/>
      <c r="BQ11" s="15"/>
      <c r="BR11" s="15"/>
      <c r="BS11" s="134">
        <f t="shared" si="23"/>
        <v>0</v>
      </c>
      <c r="BT11" s="44">
        <v>762000</v>
      </c>
      <c r="BU11" s="15"/>
      <c r="BV11" s="15">
        <v>762</v>
      </c>
      <c r="BW11" s="15">
        <v>80</v>
      </c>
      <c r="BX11" s="16">
        <f t="shared" si="24"/>
        <v>842</v>
      </c>
      <c r="BY11" s="140">
        <v>186188000</v>
      </c>
      <c r="BZ11" s="15">
        <v>8122</v>
      </c>
      <c r="CA11" s="15">
        <v>194310</v>
      </c>
      <c r="CB11" s="15">
        <v>2117</v>
      </c>
      <c r="CC11" s="16">
        <f t="shared" si="25"/>
        <v>196427</v>
      </c>
      <c r="CD11" s="140">
        <v>19050000</v>
      </c>
      <c r="CE11" s="15">
        <v>-13218</v>
      </c>
      <c r="CF11" s="134">
        <v>5832</v>
      </c>
      <c r="CG11" s="44">
        <v>7493000</v>
      </c>
      <c r="CH11" s="15">
        <v>284</v>
      </c>
      <c r="CI11" s="15">
        <v>7777</v>
      </c>
      <c r="CJ11" s="15">
        <v>3089</v>
      </c>
      <c r="CK11" s="16">
        <f t="shared" si="26"/>
        <v>10866</v>
      </c>
      <c r="CL11" s="140"/>
      <c r="CM11" s="15"/>
      <c r="CN11" s="134"/>
      <c r="CO11" s="44">
        <v>1085500</v>
      </c>
      <c r="CP11" s="15"/>
      <c r="CQ11" s="15">
        <v>1086</v>
      </c>
      <c r="CR11" s="15"/>
      <c r="CS11" s="15">
        <f t="shared" si="27"/>
        <v>1086</v>
      </c>
      <c r="CT11" s="15">
        <v>14</v>
      </c>
      <c r="CU11" s="15">
        <f t="shared" si="28"/>
        <v>1100</v>
      </c>
      <c r="CV11" s="15">
        <v>6247</v>
      </c>
      <c r="CW11" s="16">
        <f t="shared" si="29"/>
        <v>7347</v>
      </c>
      <c r="CX11" s="140">
        <v>3810000</v>
      </c>
      <c r="CY11" s="15">
        <v>-60</v>
      </c>
      <c r="CZ11" s="15">
        <v>3750</v>
      </c>
      <c r="DA11" s="15">
        <v>-1356</v>
      </c>
      <c r="DB11" s="16">
        <f t="shared" si="30"/>
        <v>2394</v>
      </c>
      <c r="DC11" s="140">
        <v>0</v>
      </c>
      <c r="DD11" s="15"/>
      <c r="DE11" s="15"/>
      <c r="DF11" s="15"/>
      <c r="DG11" s="15">
        <f t="shared" si="31"/>
        <v>0</v>
      </c>
      <c r="DH11" s="15"/>
      <c r="DI11" s="15">
        <f t="shared" si="32"/>
        <v>0</v>
      </c>
      <c r="DJ11" s="15"/>
      <c r="DK11" s="15">
        <f t="shared" si="33"/>
        <v>0</v>
      </c>
      <c r="DL11" s="15"/>
      <c r="DM11" s="134">
        <f t="shared" si="34"/>
        <v>0</v>
      </c>
      <c r="DN11" s="44"/>
      <c r="DO11" s="15"/>
      <c r="DP11" s="15"/>
      <c r="DQ11" s="15"/>
      <c r="DR11" s="15"/>
      <c r="DS11" s="15"/>
      <c r="DT11" s="15">
        <f t="shared" si="35"/>
        <v>0</v>
      </c>
      <c r="DU11" s="15"/>
      <c r="DV11" s="15"/>
      <c r="DW11" s="15"/>
      <c r="DX11" s="15">
        <f t="shared" si="36"/>
        <v>0</v>
      </c>
      <c r="DY11" s="15"/>
      <c r="DZ11" s="134">
        <f t="shared" si="37"/>
        <v>0</v>
      </c>
      <c r="EA11" s="44">
        <v>0</v>
      </c>
      <c r="EB11" s="15"/>
      <c r="EC11" s="15"/>
      <c r="ED11" s="15"/>
      <c r="EE11" s="134">
        <f t="shared" si="38"/>
        <v>0</v>
      </c>
      <c r="EF11" s="44">
        <v>1905000</v>
      </c>
      <c r="EG11" s="15"/>
      <c r="EH11" s="15">
        <v>1905</v>
      </c>
      <c r="EI11" s="15">
        <v>1500</v>
      </c>
      <c r="EJ11" s="16">
        <f t="shared" si="39"/>
        <v>3405</v>
      </c>
      <c r="EK11" s="140">
        <v>0</v>
      </c>
      <c r="EL11" s="15"/>
      <c r="EM11" s="15"/>
      <c r="EN11" s="15"/>
      <c r="EO11" s="15">
        <f t="shared" si="40"/>
        <v>0</v>
      </c>
      <c r="EP11" s="15"/>
      <c r="EQ11" s="15">
        <f t="shared" si="41"/>
        <v>0</v>
      </c>
      <c r="ER11" s="15"/>
      <c r="ES11" s="16">
        <f t="shared" si="42"/>
        <v>0</v>
      </c>
      <c r="ET11" s="140">
        <v>0</v>
      </c>
      <c r="EU11" s="15"/>
      <c r="EV11" s="15"/>
      <c r="EW11" s="52"/>
      <c r="EX11" s="15"/>
      <c r="EY11" s="15"/>
      <c r="EZ11" s="52">
        <v>13844800</v>
      </c>
      <c r="FA11" s="15"/>
      <c r="FB11" s="15">
        <v>13845</v>
      </c>
      <c r="FC11" s="15"/>
      <c r="FD11" s="134">
        <f t="shared" si="43"/>
        <v>13845</v>
      </c>
      <c r="FE11" s="37">
        <v>2482</v>
      </c>
      <c r="FF11" s="15">
        <v>2482</v>
      </c>
      <c r="FG11" s="15">
        <v>0</v>
      </c>
      <c r="FH11" s="16">
        <f>SUM(FF11:FG11)</f>
        <v>2482</v>
      </c>
      <c r="FI11" s="161">
        <v>3401</v>
      </c>
      <c r="FJ11" s="15">
        <f t="shared" si="0"/>
        <v>3401</v>
      </c>
      <c r="FK11" s="15">
        <v>29</v>
      </c>
      <c r="FL11" s="134">
        <f t="shared" si="44"/>
        <v>3430</v>
      </c>
      <c r="FM11" s="52"/>
      <c r="FN11" s="15"/>
      <c r="FO11" s="15"/>
      <c r="FP11" s="15"/>
      <c r="FQ11" s="15">
        <f t="shared" si="45"/>
        <v>0</v>
      </c>
      <c r="FR11" s="15"/>
      <c r="FS11" s="15">
        <f t="shared" si="46"/>
        <v>0</v>
      </c>
      <c r="FT11" s="161">
        <v>2839</v>
      </c>
      <c r="FU11" s="15">
        <f t="shared" si="47"/>
        <v>2839</v>
      </c>
      <c r="FV11" s="15">
        <v>1301</v>
      </c>
      <c r="FW11" s="134">
        <f t="shared" si="48"/>
        <v>4140</v>
      </c>
      <c r="FX11" s="37"/>
      <c r="FY11" s="15">
        <f t="shared" si="49"/>
        <v>0</v>
      </c>
      <c r="FZ11" s="15">
        <v>6</v>
      </c>
      <c r="GA11" s="16">
        <f t="shared" si="50"/>
        <v>6</v>
      </c>
      <c r="GB11" s="37"/>
      <c r="GC11" s="16"/>
      <c r="GD11" s="161"/>
      <c r="GE11" s="134"/>
      <c r="GF11" s="37"/>
      <c r="GG11" s="15">
        <f t="shared" si="51"/>
        <v>0</v>
      </c>
      <c r="GH11" s="15">
        <v>240</v>
      </c>
      <c r="GI11" s="16">
        <f>SUM(GG11:GH11)</f>
        <v>240</v>
      </c>
      <c r="GJ11" s="161"/>
      <c r="GK11" s="134">
        <f t="shared" si="52"/>
        <v>0</v>
      </c>
      <c r="GL11" s="37">
        <v>13218</v>
      </c>
      <c r="GM11" s="16">
        <v>13218</v>
      </c>
      <c r="GN11" s="127">
        <v>487942</v>
      </c>
      <c r="GO11" s="12">
        <f t="shared" si="1"/>
        <v>20188</v>
      </c>
      <c r="GP11" s="12"/>
      <c r="GQ11" s="12">
        <v>512202</v>
      </c>
      <c r="GR11" s="113">
        <f>G11+R11+BK11+DF11+DS11+EN11+FC11+FI11</f>
        <v>2801</v>
      </c>
      <c r="GS11" s="113">
        <f t="shared" si="53"/>
        <v>515003</v>
      </c>
      <c r="GT11" s="113">
        <f t="shared" si="2"/>
        <v>12260</v>
      </c>
      <c r="GU11" s="113">
        <f t="shared" si="54"/>
        <v>527263</v>
      </c>
      <c r="GV11" s="113">
        <f t="shared" si="3"/>
        <v>8504</v>
      </c>
      <c r="GW11" s="113">
        <f t="shared" si="55"/>
        <v>535767</v>
      </c>
      <c r="GX11" s="380">
        <f t="shared" si="56"/>
        <v>6792</v>
      </c>
      <c r="GY11" s="381">
        <f t="shared" si="57"/>
        <v>542559</v>
      </c>
    </row>
    <row r="12" spans="1:207" x14ac:dyDescent="0.2">
      <c r="A12" s="21" t="s">
        <v>6</v>
      </c>
      <c r="B12" s="65" t="s">
        <v>41</v>
      </c>
      <c r="C12" s="44">
        <v>0</v>
      </c>
      <c r="D12" s="15"/>
      <c r="E12" s="15"/>
      <c r="F12" s="15"/>
      <c r="G12" s="15"/>
      <c r="H12" s="15">
        <f t="shared" si="4"/>
        <v>0</v>
      </c>
      <c r="I12" s="15"/>
      <c r="J12" s="15">
        <f t="shared" si="5"/>
        <v>0</v>
      </c>
      <c r="K12" s="15"/>
      <c r="L12" s="15">
        <f t="shared" si="6"/>
        <v>0</v>
      </c>
      <c r="M12" s="15"/>
      <c r="N12" s="134">
        <f t="shared" si="7"/>
        <v>0</v>
      </c>
      <c r="O12" s="44">
        <v>0</v>
      </c>
      <c r="P12" s="15"/>
      <c r="Q12" s="15"/>
      <c r="R12" s="15"/>
      <c r="S12" s="15">
        <f t="shared" si="8"/>
        <v>0</v>
      </c>
      <c r="T12" s="15"/>
      <c r="U12" s="15">
        <f t="shared" si="9"/>
        <v>0</v>
      </c>
      <c r="V12" s="15"/>
      <c r="W12" s="15">
        <f t="shared" si="10"/>
        <v>0</v>
      </c>
      <c r="X12" s="15"/>
      <c r="Y12" s="134">
        <f t="shared" si="11"/>
        <v>0</v>
      </c>
      <c r="Z12" s="44">
        <v>0</v>
      </c>
      <c r="AA12" s="15"/>
      <c r="AB12" s="15"/>
      <c r="AC12" s="15"/>
      <c r="AD12" s="15">
        <f t="shared" si="12"/>
        <v>0</v>
      </c>
      <c r="AE12" s="15"/>
      <c r="AF12" s="134">
        <f t="shared" si="13"/>
        <v>0</v>
      </c>
      <c r="AG12" s="44">
        <v>0</v>
      </c>
      <c r="AH12" s="15"/>
      <c r="AI12" s="15"/>
      <c r="AJ12" s="15"/>
      <c r="AK12" s="15">
        <f t="shared" si="14"/>
        <v>0</v>
      </c>
      <c r="AL12" s="15"/>
      <c r="AM12" s="16">
        <f t="shared" si="15"/>
        <v>0</v>
      </c>
      <c r="AN12" s="140">
        <v>0</v>
      </c>
      <c r="AO12" s="15"/>
      <c r="AP12" s="15"/>
      <c r="AQ12" s="15"/>
      <c r="AR12" s="134">
        <f t="shared" si="16"/>
        <v>0</v>
      </c>
      <c r="AS12" s="44">
        <v>0</v>
      </c>
      <c r="AT12" s="15"/>
      <c r="AU12" s="15"/>
      <c r="AV12" s="15"/>
      <c r="AW12" s="134">
        <f t="shared" si="17"/>
        <v>0</v>
      </c>
      <c r="AX12" s="44"/>
      <c r="AY12" s="15"/>
      <c r="AZ12" s="15"/>
      <c r="BA12" s="15"/>
      <c r="BB12" s="15"/>
      <c r="BC12" s="15">
        <f t="shared" si="18"/>
        <v>0</v>
      </c>
      <c r="BD12" s="15"/>
      <c r="BE12" s="15">
        <f t="shared" si="19"/>
        <v>0</v>
      </c>
      <c r="BF12" s="15"/>
      <c r="BG12" s="16">
        <f t="shared" si="20"/>
        <v>0</v>
      </c>
      <c r="BH12" s="140">
        <v>0</v>
      </c>
      <c r="BI12" s="15"/>
      <c r="BJ12" s="15"/>
      <c r="BK12" s="15"/>
      <c r="BL12" s="15">
        <f t="shared" si="21"/>
        <v>0</v>
      </c>
      <c r="BM12" s="15"/>
      <c r="BN12" s="16">
        <f t="shared" si="22"/>
        <v>0</v>
      </c>
      <c r="BO12" s="44"/>
      <c r="BP12" s="15"/>
      <c r="BQ12" s="15"/>
      <c r="BR12" s="15"/>
      <c r="BS12" s="134">
        <f t="shared" si="23"/>
        <v>0</v>
      </c>
      <c r="BT12" s="44"/>
      <c r="BU12" s="15"/>
      <c r="BV12" s="15"/>
      <c r="BW12" s="15"/>
      <c r="BX12" s="16">
        <f t="shared" si="24"/>
        <v>0</v>
      </c>
      <c r="BY12" s="140">
        <v>0</v>
      </c>
      <c r="BZ12" s="15"/>
      <c r="CA12" s="15"/>
      <c r="CB12" s="15"/>
      <c r="CC12" s="16">
        <f t="shared" si="25"/>
        <v>0</v>
      </c>
      <c r="CD12" s="140">
        <v>0</v>
      </c>
      <c r="CE12" s="15"/>
      <c r="CF12" s="134"/>
      <c r="CG12" s="44">
        <v>0</v>
      </c>
      <c r="CH12" s="15"/>
      <c r="CI12" s="15"/>
      <c r="CJ12" s="15"/>
      <c r="CK12" s="16">
        <f t="shared" si="26"/>
        <v>0</v>
      </c>
      <c r="CL12" s="140">
        <v>0</v>
      </c>
      <c r="CM12" s="15"/>
      <c r="CN12" s="134"/>
      <c r="CO12" s="44">
        <v>23091250</v>
      </c>
      <c r="CP12" s="15"/>
      <c r="CQ12" s="15">
        <v>23091</v>
      </c>
      <c r="CR12" s="15"/>
      <c r="CS12" s="15">
        <f t="shared" si="27"/>
        <v>23091</v>
      </c>
      <c r="CT12" s="15"/>
      <c r="CU12" s="15">
        <f t="shared" si="28"/>
        <v>23091</v>
      </c>
      <c r="CV12" s="15"/>
      <c r="CW12" s="16">
        <f t="shared" si="29"/>
        <v>23091</v>
      </c>
      <c r="CX12" s="140">
        <v>0</v>
      </c>
      <c r="CY12" s="15"/>
      <c r="CZ12" s="15"/>
      <c r="DA12" s="15"/>
      <c r="DB12" s="16">
        <f t="shared" si="30"/>
        <v>0</v>
      </c>
      <c r="DC12" s="140">
        <v>0</v>
      </c>
      <c r="DD12" s="15"/>
      <c r="DE12" s="15"/>
      <c r="DF12" s="15"/>
      <c r="DG12" s="15">
        <f t="shared" si="31"/>
        <v>0</v>
      </c>
      <c r="DH12" s="15"/>
      <c r="DI12" s="15">
        <f t="shared" si="32"/>
        <v>0</v>
      </c>
      <c r="DJ12" s="15"/>
      <c r="DK12" s="15">
        <f t="shared" si="33"/>
        <v>0</v>
      </c>
      <c r="DL12" s="15"/>
      <c r="DM12" s="134">
        <f t="shared" si="34"/>
        <v>0</v>
      </c>
      <c r="DN12" s="44"/>
      <c r="DO12" s="15"/>
      <c r="DP12" s="15"/>
      <c r="DQ12" s="15"/>
      <c r="DR12" s="15"/>
      <c r="DS12" s="15"/>
      <c r="DT12" s="15">
        <f t="shared" si="35"/>
        <v>0</v>
      </c>
      <c r="DU12" s="15"/>
      <c r="DV12" s="15"/>
      <c r="DW12" s="15"/>
      <c r="DX12" s="15">
        <f t="shared" si="36"/>
        <v>0</v>
      </c>
      <c r="DY12" s="15"/>
      <c r="DZ12" s="134">
        <f t="shared" si="37"/>
        <v>0</v>
      </c>
      <c r="EA12" s="44">
        <v>0</v>
      </c>
      <c r="EB12" s="15"/>
      <c r="EC12" s="15"/>
      <c r="ED12" s="15"/>
      <c r="EE12" s="134">
        <f t="shared" si="38"/>
        <v>0</v>
      </c>
      <c r="EF12" s="44">
        <v>0</v>
      </c>
      <c r="EG12" s="15"/>
      <c r="EH12" s="15"/>
      <c r="EI12" s="15"/>
      <c r="EJ12" s="16">
        <f t="shared" si="39"/>
        <v>0</v>
      </c>
      <c r="EK12" s="140">
        <v>8800000</v>
      </c>
      <c r="EL12" s="15">
        <v>63</v>
      </c>
      <c r="EM12" s="15">
        <v>8863</v>
      </c>
      <c r="EN12" s="15">
        <v>25</v>
      </c>
      <c r="EO12" s="15">
        <f t="shared" si="40"/>
        <v>8888</v>
      </c>
      <c r="EP12" s="15">
        <v>54</v>
      </c>
      <c r="EQ12" s="15">
        <f t="shared" si="41"/>
        <v>8942</v>
      </c>
      <c r="ER12" s="15">
        <v>42</v>
      </c>
      <c r="ES12" s="16">
        <f t="shared" si="42"/>
        <v>8984</v>
      </c>
      <c r="ET12" s="140"/>
      <c r="EU12" s="15"/>
      <c r="EV12" s="15"/>
      <c r="EW12" s="52"/>
      <c r="EX12" s="15"/>
      <c r="EY12" s="15"/>
      <c r="EZ12" s="52"/>
      <c r="FA12" s="15"/>
      <c r="FB12" s="15"/>
      <c r="FC12" s="15"/>
      <c r="FD12" s="134">
        <f t="shared" si="43"/>
        <v>0</v>
      </c>
      <c r="FE12" s="37"/>
      <c r="FF12" s="15"/>
      <c r="FG12" s="15"/>
      <c r="FH12" s="16">
        <f t="shared" ref="FH12:FH23" si="58">SUM(FF12:FG12)</f>
        <v>0</v>
      </c>
      <c r="FI12" s="161"/>
      <c r="FJ12" s="15">
        <f t="shared" si="0"/>
        <v>0</v>
      </c>
      <c r="FK12" s="15"/>
      <c r="FL12" s="134">
        <f t="shared" si="44"/>
        <v>0</v>
      </c>
      <c r="FM12" s="52"/>
      <c r="FN12" s="15"/>
      <c r="FO12" s="15"/>
      <c r="FP12" s="15"/>
      <c r="FQ12" s="15">
        <f t="shared" si="45"/>
        <v>0</v>
      </c>
      <c r="FR12" s="15"/>
      <c r="FS12" s="15">
        <f t="shared" si="46"/>
        <v>0</v>
      </c>
      <c r="FT12" s="161"/>
      <c r="FU12" s="15">
        <f t="shared" si="47"/>
        <v>0</v>
      </c>
      <c r="FV12" s="15"/>
      <c r="FW12" s="134">
        <f t="shared" si="48"/>
        <v>0</v>
      </c>
      <c r="FX12" s="37"/>
      <c r="FY12" s="15">
        <f t="shared" si="49"/>
        <v>0</v>
      </c>
      <c r="FZ12" s="15"/>
      <c r="GA12" s="16">
        <f t="shared" si="50"/>
        <v>0</v>
      </c>
      <c r="GB12" s="37"/>
      <c r="GC12" s="16"/>
      <c r="GD12" s="161"/>
      <c r="GE12" s="134"/>
      <c r="GF12" s="37"/>
      <c r="GG12" s="15">
        <f t="shared" si="51"/>
        <v>0</v>
      </c>
      <c r="GH12" s="15"/>
      <c r="GI12" s="16">
        <f t="shared" ref="GI12:GI41" si="59">SUM(GG12:GH12)</f>
        <v>0</v>
      </c>
      <c r="GJ12" s="161"/>
      <c r="GK12" s="134">
        <f t="shared" si="52"/>
        <v>0</v>
      </c>
      <c r="GL12" s="37"/>
      <c r="GM12" s="16"/>
      <c r="GN12" s="299">
        <f>C12+O12+Z12+AG12+AN12+AS12+AX12+BH12+BO12+BT12+BY12+CD12+CG12+CL12+CO12+CX12+DC12+DN12+EA12+EF12+EK12+ET12+EW12+EZ12+FM12</f>
        <v>31891250</v>
      </c>
      <c r="GO12" s="12">
        <f t="shared" si="1"/>
        <v>63</v>
      </c>
      <c r="GP12" s="12"/>
      <c r="GQ12" s="12">
        <v>31954</v>
      </c>
      <c r="GR12" s="113">
        <f>G12+R12+BK12+DF12+DS12+EN12+FC12+FI12</f>
        <v>25</v>
      </c>
      <c r="GS12" s="113">
        <f t="shared" si="53"/>
        <v>31979</v>
      </c>
      <c r="GT12" s="113">
        <f t="shared" si="2"/>
        <v>0</v>
      </c>
      <c r="GU12" s="113">
        <f t="shared" si="54"/>
        <v>31979</v>
      </c>
      <c r="GV12" s="113">
        <f t="shared" si="3"/>
        <v>54</v>
      </c>
      <c r="GW12" s="113">
        <f t="shared" si="55"/>
        <v>32033</v>
      </c>
      <c r="GX12" s="380">
        <f t="shared" si="56"/>
        <v>42</v>
      </c>
      <c r="GY12" s="381">
        <f t="shared" si="57"/>
        <v>32075</v>
      </c>
    </row>
    <row r="13" spans="1:207" x14ac:dyDescent="0.2">
      <c r="A13" s="21" t="s">
        <v>7</v>
      </c>
      <c r="B13" s="65" t="s">
        <v>42</v>
      </c>
      <c r="C13" s="44">
        <v>70471000</v>
      </c>
      <c r="D13" s="15">
        <f>16919+3932+21028-14771+1217</f>
        <v>28325</v>
      </c>
      <c r="E13" s="15">
        <v>-1949</v>
      </c>
      <c r="F13" s="15">
        <f>98796+E13</f>
        <v>96847</v>
      </c>
      <c r="G13" s="15">
        <f>600+3235</f>
        <v>3835</v>
      </c>
      <c r="H13" s="15">
        <f t="shared" si="4"/>
        <v>100682</v>
      </c>
      <c r="I13" s="15">
        <v>-7423</v>
      </c>
      <c r="J13" s="15">
        <f t="shared" si="5"/>
        <v>93259</v>
      </c>
      <c r="K13" s="15">
        <f>144+443-3300+2600</f>
        <v>-113</v>
      </c>
      <c r="L13" s="15">
        <f t="shared" si="6"/>
        <v>93146</v>
      </c>
      <c r="M13" s="15">
        <f>83+40901</f>
        <v>40984</v>
      </c>
      <c r="N13" s="134">
        <f t="shared" si="7"/>
        <v>134130</v>
      </c>
      <c r="O13" s="44">
        <v>0</v>
      </c>
      <c r="P13" s="15"/>
      <c r="Q13" s="15"/>
      <c r="R13" s="15"/>
      <c r="S13" s="15">
        <f t="shared" si="8"/>
        <v>0</v>
      </c>
      <c r="T13" s="15"/>
      <c r="U13" s="15">
        <f t="shared" si="9"/>
        <v>0</v>
      </c>
      <c r="V13" s="15"/>
      <c r="W13" s="15">
        <f t="shared" si="10"/>
        <v>0</v>
      </c>
      <c r="X13" s="15">
        <v>490</v>
      </c>
      <c r="Y13" s="134">
        <f t="shared" si="11"/>
        <v>490</v>
      </c>
      <c r="Z13" s="44">
        <v>0</v>
      </c>
      <c r="AA13" s="15"/>
      <c r="AB13" s="15"/>
      <c r="AC13" s="15"/>
      <c r="AD13" s="15">
        <f t="shared" si="12"/>
        <v>0</v>
      </c>
      <c r="AE13" s="15"/>
      <c r="AF13" s="134">
        <f t="shared" si="13"/>
        <v>0</v>
      </c>
      <c r="AG13" s="44">
        <v>0</v>
      </c>
      <c r="AH13" s="15"/>
      <c r="AI13" s="15"/>
      <c r="AJ13" s="15"/>
      <c r="AK13" s="15">
        <f t="shared" si="14"/>
        <v>0</v>
      </c>
      <c r="AL13" s="15"/>
      <c r="AM13" s="16">
        <f t="shared" si="15"/>
        <v>0</v>
      </c>
      <c r="AN13" s="140">
        <v>0</v>
      </c>
      <c r="AO13" s="15"/>
      <c r="AP13" s="15"/>
      <c r="AQ13" s="15"/>
      <c r="AR13" s="134">
        <f t="shared" si="16"/>
        <v>0</v>
      </c>
      <c r="AS13" s="44">
        <v>0</v>
      </c>
      <c r="AT13" s="15"/>
      <c r="AU13" s="15"/>
      <c r="AV13" s="15"/>
      <c r="AW13" s="134">
        <f t="shared" si="17"/>
        <v>0</v>
      </c>
      <c r="AX13" s="44"/>
      <c r="AY13" s="15"/>
      <c r="AZ13" s="15"/>
      <c r="BA13" s="15"/>
      <c r="BB13" s="15"/>
      <c r="BC13" s="15">
        <f t="shared" si="18"/>
        <v>0</v>
      </c>
      <c r="BD13" s="15"/>
      <c r="BE13" s="15">
        <f t="shared" si="19"/>
        <v>0</v>
      </c>
      <c r="BF13" s="15"/>
      <c r="BG13" s="16">
        <f t="shared" si="20"/>
        <v>0</v>
      </c>
      <c r="BH13" s="140">
        <v>30001724</v>
      </c>
      <c r="BI13" s="15">
        <v>2511</v>
      </c>
      <c r="BJ13" s="15">
        <v>32513</v>
      </c>
      <c r="BK13" s="15">
        <v>-2511</v>
      </c>
      <c r="BL13" s="15">
        <f t="shared" si="21"/>
        <v>30002</v>
      </c>
      <c r="BM13" s="15">
        <v>2679</v>
      </c>
      <c r="BN13" s="16">
        <f t="shared" si="22"/>
        <v>32681</v>
      </c>
      <c r="BO13" s="44"/>
      <c r="BP13" s="15"/>
      <c r="BQ13" s="15"/>
      <c r="BR13" s="15"/>
      <c r="BS13" s="134">
        <f t="shared" si="23"/>
        <v>0</v>
      </c>
      <c r="BT13" s="44"/>
      <c r="BU13" s="15"/>
      <c r="BV13" s="15"/>
      <c r="BW13" s="15"/>
      <c r="BX13" s="16">
        <f t="shared" si="24"/>
        <v>0</v>
      </c>
      <c r="BY13" s="140">
        <v>0</v>
      </c>
      <c r="BZ13" s="15"/>
      <c r="CA13" s="15"/>
      <c r="CB13" s="15"/>
      <c r="CC13" s="16">
        <f t="shared" si="25"/>
        <v>0</v>
      </c>
      <c r="CD13" s="140">
        <v>0</v>
      </c>
      <c r="CE13" s="15"/>
      <c r="CF13" s="134"/>
      <c r="CG13" s="44">
        <v>0</v>
      </c>
      <c r="CH13" s="15"/>
      <c r="CI13" s="15"/>
      <c r="CJ13" s="15"/>
      <c r="CK13" s="16">
        <f t="shared" si="26"/>
        <v>0</v>
      </c>
      <c r="CL13" s="140">
        <v>0</v>
      </c>
      <c r="CM13" s="15"/>
      <c r="CN13" s="134"/>
      <c r="CO13" s="44">
        <v>2511000</v>
      </c>
      <c r="CP13" s="15">
        <v>-2511</v>
      </c>
      <c r="CQ13" s="15"/>
      <c r="CR13" s="15">
        <v>2511</v>
      </c>
      <c r="CS13" s="15">
        <f t="shared" si="27"/>
        <v>2511</v>
      </c>
      <c r="CT13" s="15"/>
      <c r="CU13" s="15">
        <f t="shared" si="28"/>
        <v>2511</v>
      </c>
      <c r="CV13" s="15">
        <v>326</v>
      </c>
      <c r="CW13" s="16">
        <f t="shared" si="29"/>
        <v>2837</v>
      </c>
      <c r="CX13" s="140">
        <v>0</v>
      </c>
      <c r="CY13" s="15"/>
      <c r="CZ13" s="15"/>
      <c r="DA13" s="15"/>
      <c r="DB13" s="16">
        <f t="shared" si="30"/>
        <v>0</v>
      </c>
      <c r="DC13" s="140">
        <f>'[2]2016 ktgv kiadás_01'!$I$207</f>
        <v>0</v>
      </c>
      <c r="DD13" s="15"/>
      <c r="DE13" s="15"/>
      <c r="DF13" s="15"/>
      <c r="DG13" s="15">
        <f t="shared" si="31"/>
        <v>0</v>
      </c>
      <c r="DH13" s="15"/>
      <c r="DI13" s="15">
        <f t="shared" si="32"/>
        <v>0</v>
      </c>
      <c r="DJ13" s="15"/>
      <c r="DK13" s="15">
        <f t="shared" si="33"/>
        <v>0</v>
      </c>
      <c r="DL13" s="15"/>
      <c r="DM13" s="134">
        <f t="shared" si="34"/>
        <v>0</v>
      </c>
      <c r="DN13" s="44"/>
      <c r="DO13" s="15"/>
      <c r="DP13" s="15"/>
      <c r="DQ13" s="15"/>
      <c r="DR13" s="15"/>
      <c r="DS13" s="15"/>
      <c r="DT13" s="15">
        <f t="shared" si="35"/>
        <v>0</v>
      </c>
      <c r="DU13" s="15"/>
      <c r="DV13" s="15"/>
      <c r="DW13" s="15"/>
      <c r="DX13" s="15">
        <f t="shared" si="36"/>
        <v>0</v>
      </c>
      <c r="DY13" s="15"/>
      <c r="DZ13" s="134">
        <f t="shared" si="37"/>
        <v>0</v>
      </c>
      <c r="EA13" s="44">
        <v>0</v>
      </c>
      <c r="EB13" s="15"/>
      <c r="EC13" s="15"/>
      <c r="ED13" s="15"/>
      <c r="EE13" s="134">
        <f t="shared" si="38"/>
        <v>0</v>
      </c>
      <c r="EF13" s="44">
        <v>0</v>
      </c>
      <c r="EG13" s="15"/>
      <c r="EH13" s="15"/>
      <c r="EI13" s="15"/>
      <c r="EJ13" s="16">
        <f t="shared" si="39"/>
        <v>0</v>
      </c>
      <c r="EK13" s="140">
        <v>0</v>
      </c>
      <c r="EL13" s="15"/>
      <c r="EM13" s="15"/>
      <c r="EN13" s="15"/>
      <c r="EO13" s="15">
        <f t="shared" si="40"/>
        <v>0</v>
      </c>
      <c r="EP13" s="15"/>
      <c r="EQ13" s="15">
        <f t="shared" si="41"/>
        <v>0</v>
      </c>
      <c r="ER13" s="15"/>
      <c r="ES13" s="16">
        <f t="shared" si="42"/>
        <v>0</v>
      </c>
      <c r="ET13" s="140">
        <v>7000000</v>
      </c>
      <c r="EU13" s="15"/>
      <c r="EV13" s="15">
        <v>7000</v>
      </c>
      <c r="EW13" s="52"/>
      <c r="EX13" s="15"/>
      <c r="EY13" s="15"/>
      <c r="EZ13" s="52"/>
      <c r="FA13" s="15"/>
      <c r="FB13" s="15"/>
      <c r="FC13" s="15"/>
      <c r="FD13" s="134">
        <f t="shared" si="43"/>
        <v>0</v>
      </c>
      <c r="FE13" s="37"/>
      <c r="FF13" s="15"/>
      <c r="FG13" s="15"/>
      <c r="FH13" s="16">
        <f t="shared" si="58"/>
        <v>0</v>
      </c>
      <c r="FI13" s="161"/>
      <c r="FJ13" s="15">
        <f t="shared" si="0"/>
        <v>0</v>
      </c>
      <c r="FK13" s="15"/>
      <c r="FL13" s="134">
        <f t="shared" si="44"/>
        <v>0</v>
      </c>
      <c r="FM13" s="52"/>
      <c r="FN13" s="15"/>
      <c r="FO13" s="15"/>
      <c r="FP13" s="15"/>
      <c r="FQ13" s="15">
        <f t="shared" si="45"/>
        <v>0</v>
      </c>
      <c r="FR13" s="15"/>
      <c r="FS13" s="15">
        <f t="shared" si="46"/>
        <v>0</v>
      </c>
      <c r="FT13" s="161"/>
      <c r="FU13" s="15">
        <f t="shared" si="47"/>
        <v>0</v>
      </c>
      <c r="FV13" s="15"/>
      <c r="FW13" s="134">
        <f t="shared" si="48"/>
        <v>0</v>
      </c>
      <c r="FX13" s="37"/>
      <c r="FY13" s="15">
        <f t="shared" si="49"/>
        <v>0</v>
      </c>
      <c r="FZ13" s="15"/>
      <c r="GA13" s="16">
        <f t="shared" si="50"/>
        <v>0</v>
      </c>
      <c r="GB13" s="37"/>
      <c r="GC13" s="16"/>
      <c r="GD13" s="161"/>
      <c r="GE13" s="134"/>
      <c r="GF13" s="37"/>
      <c r="GG13" s="15">
        <f t="shared" si="51"/>
        <v>0</v>
      </c>
      <c r="GH13" s="15"/>
      <c r="GI13" s="16">
        <f t="shared" si="59"/>
        <v>0</v>
      </c>
      <c r="GJ13" s="161"/>
      <c r="GK13" s="134">
        <f t="shared" si="52"/>
        <v>0</v>
      </c>
      <c r="GL13" s="37"/>
      <c r="GM13" s="16"/>
      <c r="GN13" s="299">
        <f>C13+O13+Z13+AG13+AN13+AS13+AX13+BH13+BO13+BT13+BY13+CD13+CG13+CL13+CO13+CX13+DC13+DN13+EA13+EF13+EK13+ET13+EW13+EZ13+FM13</f>
        <v>109983724</v>
      </c>
      <c r="GO13" s="12">
        <f t="shared" si="1"/>
        <v>28325</v>
      </c>
      <c r="GP13" s="12">
        <v>-1949</v>
      </c>
      <c r="GQ13" s="12">
        <f>138309+GP13</f>
        <v>136360</v>
      </c>
      <c r="GR13" s="113">
        <v>3835</v>
      </c>
      <c r="GS13" s="113">
        <f t="shared" si="53"/>
        <v>140195</v>
      </c>
      <c r="GT13" s="113">
        <f t="shared" si="2"/>
        <v>-7423</v>
      </c>
      <c r="GU13" s="113">
        <f t="shared" si="54"/>
        <v>132772</v>
      </c>
      <c r="GV13" s="113">
        <f t="shared" si="3"/>
        <v>-113</v>
      </c>
      <c r="GW13" s="113">
        <f t="shared" si="55"/>
        <v>132659</v>
      </c>
      <c r="GX13" s="380">
        <f t="shared" si="56"/>
        <v>44479</v>
      </c>
      <c r="GY13" s="381">
        <f t="shared" si="57"/>
        <v>177138</v>
      </c>
    </row>
    <row r="14" spans="1:207" s="24" customFormat="1" x14ac:dyDescent="0.2">
      <c r="A14" s="28" t="s">
        <v>8</v>
      </c>
      <c r="B14" s="67" t="s">
        <v>72</v>
      </c>
      <c r="C14" s="151">
        <v>50000000</v>
      </c>
      <c r="D14" s="101">
        <f>27108+1217</f>
        <v>28325</v>
      </c>
      <c r="E14" s="101">
        <v>-1949</v>
      </c>
      <c r="F14" s="101">
        <v>76376</v>
      </c>
      <c r="G14" s="101">
        <f>13709+3745+2111-16330</f>
        <v>3235</v>
      </c>
      <c r="H14" s="15">
        <f t="shared" si="4"/>
        <v>79611</v>
      </c>
      <c r="I14" s="15">
        <v>-7423</v>
      </c>
      <c r="J14" s="15">
        <f t="shared" si="5"/>
        <v>72188</v>
      </c>
      <c r="K14" s="15">
        <v>-2713</v>
      </c>
      <c r="L14" s="15">
        <f t="shared" si="6"/>
        <v>69475</v>
      </c>
      <c r="M14" s="15">
        <v>43769</v>
      </c>
      <c r="N14" s="134">
        <f t="shared" si="7"/>
        <v>113244</v>
      </c>
      <c r="O14" s="44">
        <v>0</v>
      </c>
      <c r="P14" s="15"/>
      <c r="Q14" s="15"/>
      <c r="R14" s="15"/>
      <c r="S14" s="15">
        <f t="shared" si="8"/>
        <v>0</v>
      </c>
      <c r="T14" s="15"/>
      <c r="U14" s="15">
        <f t="shared" si="9"/>
        <v>0</v>
      </c>
      <c r="V14" s="15"/>
      <c r="W14" s="15">
        <f t="shared" si="10"/>
        <v>0</v>
      </c>
      <c r="X14" s="15"/>
      <c r="Y14" s="134">
        <f t="shared" si="11"/>
        <v>0</v>
      </c>
      <c r="Z14" s="44">
        <v>0</v>
      </c>
      <c r="AA14" s="15"/>
      <c r="AB14" s="15"/>
      <c r="AC14" s="15"/>
      <c r="AD14" s="15">
        <f t="shared" si="12"/>
        <v>0</v>
      </c>
      <c r="AE14" s="15"/>
      <c r="AF14" s="134">
        <f t="shared" si="13"/>
        <v>0</v>
      </c>
      <c r="AG14" s="44">
        <v>0</v>
      </c>
      <c r="AH14" s="15"/>
      <c r="AI14" s="15"/>
      <c r="AJ14" s="15"/>
      <c r="AK14" s="15">
        <f t="shared" si="14"/>
        <v>0</v>
      </c>
      <c r="AL14" s="15"/>
      <c r="AM14" s="16">
        <f t="shared" si="15"/>
        <v>0</v>
      </c>
      <c r="AN14" s="140">
        <v>0</v>
      </c>
      <c r="AO14" s="15"/>
      <c r="AP14" s="15"/>
      <c r="AQ14" s="15"/>
      <c r="AR14" s="134">
        <f t="shared" si="16"/>
        <v>0</v>
      </c>
      <c r="AS14" s="44">
        <v>0</v>
      </c>
      <c r="AT14" s="15"/>
      <c r="AU14" s="15"/>
      <c r="AV14" s="15"/>
      <c r="AW14" s="134">
        <f t="shared" si="17"/>
        <v>0</v>
      </c>
      <c r="AX14" s="44"/>
      <c r="AY14" s="15"/>
      <c r="AZ14" s="15"/>
      <c r="BA14" s="15"/>
      <c r="BB14" s="15"/>
      <c r="BC14" s="15">
        <f t="shared" si="18"/>
        <v>0</v>
      </c>
      <c r="BD14" s="15"/>
      <c r="BE14" s="15">
        <f t="shared" si="19"/>
        <v>0</v>
      </c>
      <c r="BF14" s="15"/>
      <c r="BG14" s="16">
        <f t="shared" si="20"/>
        <v>0</v>
      </c>
      <c r="BH14" s="140">
        <v>0</v>
      </c>
      <c r="BI14" s="15"/>
      <c r="BJ14" s="15"/>
      <c r="BK14" s="15"/>
      <c r="BL14" s="15">
        <f t="shared" si="21"/>
        <v>0</v>
      </c>
      <c r="BM14" s="15"/>
      <c r="BN14" s="16">
        <f t="shared" si="22"/>
        <v>0</v>
      </c>
      <c r="BO14" s="44"/>
      <c r="BP14" s="15"/>
      <c r="BQ14" s="15"/>
      <c r="BR14" s="15"/>
      <c r="BS14" s="134">
        <f t="shared" si="23"/>
        <v>0</v>
      </c>
      <c r="BT14" s="44"/>
      <c r="BU14" s="15"/>
      <c r="BV14" s="15"/>
      <c r="BW14" s="15"/>
      <c r="BX14" s="16">
        <f t="shared" si="24"/>
        <v>0</v>
      </c>
      <c r="BY14" s="140">
        <v>0</v>
      </c>
      <c r="BZ14" s="15"/>
      <c r="CA14" s="15"/>
      <c r="CB14" s="15"/>
      <c r="CC14" s="16">
        <f t="shared" si="25"/>
        <v>0</v>
      </c>
      <c r="CD14" s="140">
        <v>0</v>
      </c>
      <c r="CE14" s="15"/>
      <c r="CF14" s="134"/>
      <c r="CG14" s="44">
        <v>0</v>
      </c>
      <c r="CH14" s="15"/>
      <c r="CI14" s="15"/>
      <c r="CJ14" s="15"/>
      <c r="CK14" s="16">
        <f t="shared" si="26"/>
        <v>0</v>
      </c>
      <c r="CL14" s="140">
        <v>0</v>
      </c>
      <c r="CM14" s="15"/>
      <c r="CN14" s="134"/>
      <c r="CO14" s="44">
        <v>0</v>
      </c>
      <c r="CP14" s="15"/>
      <c r="CQ14" s="15"/>
      <c r="CR14" s="15"/>
      <c r="CS14" s="15">
        <f t="shared" si="27"/>
        <v>0</v>
      </c>
      <c r="CT14" s="15"/>
      <c r="CU14" s="15">
        <f t="shared" si="28"/>
        <v>0</v>
      </c>
      <c r="CV14" s="15"/>
      <c r="CW14" s="16">
        <f t="shared" si="29"/>
        <v>0</v>
      </c>
      <c r="CX14" s="140">
        <v>0</v>
      </c>
      <c r="CY14" s="15"/>
      <c r="CZ14" s="15"/>
      <c r="DA14" s="15"/>
      <c r="DB14" s="16">
        <f t="shared" si="30"/>
        <v>0</v>
      </c>
      <c r="DC14" s="140">
        <f>'[2]2016 ktgv kiadás_01'!$I$207</f>
        <v>0</v>
      </c>
      <c r="DD14" s="15"/>
      <c r="DE14" s="15"/>
      <c r="DF14" s="15"/>
      <c r="DG14" s="15">
        <f t="shared" si="31"/>
        <v>0</v>
      </c>
      <c r="DH14" s="15"/>
      <c r="DI14" s="15">
        <f t="shared" si="32"/>
        <v>0</v>
      </c>
      <c r="DJ14" s="15"/>
      <c r="DK14" s="15">
        <f t="shared" si="33"/>
        <v>0</v>
      </c>
      <c r="DL14" s="15"/>
      <c r="DM14" s="134">
        <f t="shared" si="34"/>
        <v>0</v>
      </c>
      <c r="DN14" s="44"/>
      <c r="DO14" s="15"/>
      <c r="DP14" s="15"/>
      <c r="DQ14" s="15"/>
      <c r="DR14" s="15"/>
      <c r="DS14" s="15"/>
      <c r="DT14" s="15">
        <f t="shared" si="35"/>
        <v>0</v>
      </c>
      <c r="DU14" s="15"/>
      <c r="DV14" s="15"/>
      <c r="DW14" s="15"/>
      <c r="DX14" s="15">
        <f t="shared" si="36"/>
        <v>0</v>
      </c>
      <c r="DY14" s="15"/>
      <c r="DZ14" s="134">
        <f t="shared" si="37"/>
        <v>0</v>
      </c>
      <c r="EA14" s="44">
        <v>0</v>
      </c>
      <c r="EB14" s="15"/>
      <c r="EC14" s="15"/>
      <c r="ED14" s="15"/>
      <c r="EE14" s="134">
        <f t="shared" si="38"/>
        <v>0</v>
      </c>
      <c r="EF14" s="44"/>
      <c r="EG14" s="15"/>
      <c r="EH14" s="15"/>
      <c r="EI14" s="15"/>
      <c r="EJ14" s="16">
        <f t="shared" si="39"/>
        <v>0</v>
      </c>
      <c r="EK14" s="140"/>
      <c r="EL14" s="15"/>
      <c r="EM14" s="15"/>
      <c r="EN14" s="15"/>
      <c r="EO14" s="15">
        <f t="shared" si="40"/>
        <v>0</v>
      </c>
      <c r="EP14" s="15"/>
      <c r="EQ14" s="15">
        <f t="shared" si="41"/>
        <v>0</v>
      </c>
      <c r="ER14" s="15"/>
      <c r="ES14" s="16">
        <f t="shared" si="42"/>
        <v>0</v>
      </c>
      <c r="ET14" s="140">
        <v>7000000</v>
      </c>
      <c r="EU14" s="15"/>
      <c r="EV14" s="15">
        <v>7000</v>
      </c>
      <c r="EW14" s="52"/>
      <c r="EX14" s="15"/>
      <c r="EY14" s="15"/>
      <c r="EZ14" s="52"/>
      <c r="FA14" s="15"/>
      <c r="FB14" s="15"/>
      <c r="FC14" s="15"/>
      <c r="FD14" s="134">
        <f t="shared" si="43"/>
        <v>0</v>
      </c>
      <c r="FE14" s="37"/>
      <c r="FF14" s="15"/>
      <c r="FG14" s="15"/>
      <c r="FH14" s="16">
        <f t="shared" si="58"/>
        <v>0</v>
      </c>
      <c r="FI14" s="161"/>
      <c r="FJ14" s="15">
        <f t="shared" si="0"/>
        <v>0</v>
      </c>
      <c r="FK14" s="15"/>
      <c r="FL14" s="134">
        <f t="shared" si="44"/>
        <v>0</v>
      </c>
      <c r="FM14" s="52"/>
      <c r="FN14" s="15"/>
      <c r="FO14" s="15"/>
      <c r="FP14" s="15"/>
      <c r="FQ14" s="15">
        <f t="shared" si="45"/>
        <v>0</v>
      </c>
      <c r="FR14" s="15"/>
      <c r="FS14" s="15">
        <f t="shared" si="46"/>
        <v>0</v>
      </c>
      <c r="FT14" s="161"/>
      <c r="FU14" s="15">
        <f t="shared" si="47"/>
        <v>0</v>
      </c>
      <c r="FV14" s="15"/>
      <c r="FW14" s="134">
        <f t="shared" si="48"/>
        <v>0</v>
      </c>
      <c r="FX14" s="37"/>
      <c r="FY14" s="15">
        <f t="shared" si="49"/>
        <v>0</v>
      </c>
      <c r="FZ14" s="15"/>
      <c r="GA14" s="16">
        <f t="shared" si="50"/>
        <v>0</v>
      </c>
      <c r="GB14" s="37"/>
      <c r="GC14" s="16"/>
      <c r="GD14" s="161"/>
      <c r="GE14" s="134"/>
      <c r="GF14" s="37"/>
      <c r="GG14" s="15">
        <f t="shared" si="51"/>
        <v>0</v>
      </c>
      <c r="GH14" s="15"/>
      <c r="GI14" s="16">
        <f t="shared" si="59"/>
        <v>0</v>
      </c>
      <c r="GJ14" s="161"/>
      <c r="GK14" s="134">
        <f t="shared" si="52"/>
        <v>0</v>
      </c>
      <c r="GL14" s="37"/>
      <c r="GM14" s="16"/>
      <c r="GN14" s="299">
        <f>C14+O14+Z14+AG14+AN14+AS14+AX14+BH14+BO14+BT14+BY14+CD14+CG14+CL14+CO14+CX14+DC14+DN14+EA14+EF14+EK14+ET14+EW14+EZ14+FM14</f>
        <v>57000000</v>
      </c>
      <c r="GO14" s="12">
        <f t="shared" si="1"/>
        <v>28325</v>
      </c>
      <c r="GP14" s="12">
        <v>-1949</v>
      </c>
      <c r="GQ14" s="33">
        <f>85325+GP14</f>
        <v>83376</v>
      </c>
      <c r="GR14" s="113">
        <f>G14+R14+BK14+DF14+DS14+EN14+FC14+FI14</f>
        <v>3235</v>
      </c>
      <c r="GS14" s="113">
        <f t="shared" si="53"/>
        <v>86611</v>
      </c>
      <c r="GT14" s="113">
        <f t="shared" si="2"/>
        <v>-7423</v>
      </c>
      <c r="GU14" s="113">
        <f t="shared" si="54"/>
        <v>79188</v>
      </c>
      <c r="GV14" s="113">
        <f t="shared" si="3"/>
        <v>-2713</v>
      </c>
      <c r="GW14" s="113">
        <f t="shared" si="55"/>
        <v>76475</v>
      </c>
      <c r="GX14" s="380">
        <f t="shared" si="56"/>
        <v>43769</v>
      </c>
      <c r="GY14" s="381">
        <f t="shared" si="57"/>
        <v>120244</v>
      </c>
    </row>
    <row r="15" spans="1:207" s="7" customFormat="1" x14ac:dyDescent="0.2">
      <c r="A15" s="20" t="s">
        <v>9</v>
      </c>
      <c r="B15" s="68" t="s">
        <v>43</v>
      </c>
      <c r="C15" s="90">
        <f>C9+C10+C11+C12+C13</f>
        <v>259028908</v>
      </c>
      <c r="D15" s="34">
        <f>D9+D10+D11+D12+D13</f>
        <v>36002</v>
      </c>
      <c r="E15" s="34">
        <v>-1949</v>
      </c>
      <c r="F15" s="34">
        <f>F9+F10+F11+F12+F13</f>
        <v>293082</v>
      </c>
      <c r="G15" s="34">
        <v>3835</v>
      </c>
      <c r="H15" s="15">
        <f t="shared" si="4"/>
        <v>296917</v>
      </c>
      <c r="I15" s="15">
        <f>SUM(I9:I13)</f>
        <v>-8366</v>
      </c>
      <c r="J15" s="15">
        <f t="shared" si="5"/>
        <v>288551</v>
      </c>
      <c r="K15" s="15">
        <f>K11+K13</f>
        <v>1486</v>
      </c>
      <c r="L15" s="15">
        <f t="shared" si="6"/>
        <v>290037</v>
      </c>
      <c r="M15" s="15">
        <f>M11+M13</f>
        <v>37975</v>
      </c>
      <c r="N15" s="134">
        <f t="shared" si="7"/>
        <v>328012</v>
      </c>
      <c r="O15" s="90">
        <f t="shared" ref="O15:EC15" si="60">O9+O10+O11+O12+O13</f>
        <v>12379200</v>
      </c>
      <c r="P15" s="34">
        <f t="shared" si="60"/>
        <v>14101</v>
      </c>
      <c r="Q15" s="34">
        <f t="shared" si="60"/>
        <v>26480</v>
      </c>
      <c r="R15" s="34">
        <v>-600</v>
      </c>
      <c r="S15" s="15">
        <f t="shared" si="8"/>
        <v>25880</v>
      </c>
      <c r="T15" s="15">
        <f>SUM(T11)</f>
        <v>-265</v>
      </c>
      <c r="U15" s="15">
        <f t="shared" si="9"/>
        <v>25615</v>
      </c>
      <c r="V15" s="15">
        <v>3162</v>
      </c>
      <c r="W15" s="15">
        <f t="shared" si="10"/>
        <v>28777</v>
      </c>
      <c r="X15" s="15">
        <f>X11+X13</f>
        <v>-2531</v>
      </c>
      <c r="Y15" s="134">
        <f t="shared" si="11"/>
        <v>26246</v>
      </c>
      <c r="Z15" s="90">
        <f t="shared" si="60"/>
        <v>9525000</v>
      </c>
      <c r="AA15" s="34">
        <f t="shared" si="60"/>
        <v>0</v>
      </c>
      <c r="AB15" s="34">
        <f t="shared" si="60"/>
        <v>9525</v>
      </c>
      <c r="AC15" s="34">
        <v>500</v>
      </c>
      <c r="AD15" s="15">
        <f t="shared" si="12"/>
        <v>10025</v>
      </c>
      <c r="AE15" s="15">
        <v>0</v>
      </c>
      <c r="AF15" s="134">
        <f t="shared" si="13"/>
        <v>10025</v>
      </c>
      <c r="AG15" s="90">
        <f t="shared" si="60"/>
        <v>0</v>
      </c>
      <c r="AH15" s="34">
        <f t="shared" si="60"/>
        <v>0</v>
      </c>
      <c r="AI15" s="34">
        <f t="shared" si="60"/>
        <v>0</v>
      </c>
      <c r="AJ15" s="34"/>
      <c r="AK15" s="15">
        <f t="shared" si="14"/>
        <v>0</v>
      </c>
      <c r="AL15" s="15"/>
      <c r="AM15" s="16">
        <f t="shared" si="15"/>
        <v>0</v>
      </c>
      <c r="AN15" s="86">
        <f t="shared" si="60"/>
        <v>20502829</v>
      </c>
      <c r="AO15" s="34">
        <f t="shared" si="60"/>
        <v>0</v>
      </c>
      <c r="AP15" s="34">
        <f t="shared" si="60"/>
        <v>20503</v>
      </c>
      <c r="AQ15" s="34">
        <v>1481</v>
      </c>
      <c r="AR15" s="134">
        <f t="shared" si="16"/>
        <v>21984</v>
      </c>
      <c r="AS15" s="90">
        <f t="shared" si="60"/>
        <v>58936391</v>
      </c>
      <c r="AT15" s="34">
        <f t="shared" si="60"/>
        <v>800</v>
      </c>
      <c r="AU15" s="34">
        <f t="shared" si="60"/>
        <v>59736</v>
      </c>
      <c r="AV15" s="34">
        <v>-3658</v>
      </c>
      <c r="AW15" s="134">
        <f t="shared" si="17"/>
        <v>56078</v>
      </c>
      <c r="AX15" s="90">
        <f>SUM(AX9:AX11)</f>
        <v>9678350</v>
      </c>
      <c r="AY15" s="34">
        <f t="shared" si="60"/>
        <v>143</v>
      </c>
      <c r="AZ15" s="34">
        <v>377</v>
      </c>
      <c r="BA15" s="34">
        <f>BA9+BA10+BA11+BA12+BA13</f>
        <v>10199</v>
      </c>
      <c r="BB15" s="34">
        <v>1469</v>
      </c>
      <c r="BC15" s="15">
        <f t="shared" si="18"/>
        <v>11668</v>
      </c>
      <c r="BD15" s="15">
        <f>BD11</f>
        <v>3243</v>
      </c>
      <c r="BE15" s="15">
        <f t="shared" si="19"/>
        <v>14911</v>
      </c>
      <c r="BF15" s="15">
        <f>BF9+BF11</f>
        <v>1615</v>
      </c>
      <c r="BG15" s="16">
        <f t="shared" si="20"/>
        <v>16526</v>
      </c>
      <c r="BH15" s="86">
        <f t="shared" si="60"/>
        <v>30001724</v>
      </c>
      <c r="BI15" s="34">
        <f t="shared" si="60"/>
        <v>2511</v>
      </c>
      <c r="BJ15" s="34">
        <f t="shared" si="60"/>
        <v>32513</v>
      </c>
      <c r="BK15" s="34">
        <v>-2511</v>
      </c>
      <c r="BL15" s="15">
        <f t="shared" si="21"/>
        <v>30002</v>
      </c>
      <c r="BM15" s="15">
        <v>2679</v>
      </c>
      <c r="BN15" s="16">
        <f t="shared" si="22"/>
        <v>32681</v>
      </c>
      <c r="BO15" s="90">
        <f t="shared" ref="BO15:BQ15" si="61">BO9+BO10+BO11+BO12+BO13</f>
        <v>0</v>
      </c>
      <c r="BP15" s="34">
        <f t="shared" si="61"/>
        <v>0</v>
      </c>
      <c r="BQ15" s="34">
        <f t="shared" si="61"/>
        <v>0</v>
      </c>
      <c r="BR15" s="34"/>
      <c r="BS15" s="134">
        <f t="shared" si="23"/>
        <v>0</v>
      </c>
      <c r="BT15" s="90">
        <f t="shared" si="60"/>
        <v>762000</v>
      </c>
      <c r="BU15" s="34">
        <f t="shared" ref="BU15:BV15" si="62">BU9+BU10+BU11+BU12+BU13</f>
        <v>0</v>
      </c>
      <c r="BV15" s="34">
        <f t="shared" si="62"/>
        <v>762</v>
      </c>
      <c r="BW15" s="34">
        <v>80</v>
      </c>
      <c r="BX15" s="16">
        <f t="shared" si="24"/>
        <v>842</v>
      </c>
      <c r="BY15" s="86">
        <f t="shared" si="60"/>
        <v>186188000</v>
      </c>
      <c r="BZ15" s="34">
        <f t="shared" si="60"/>
        <v>8122</v>
      </c>
      <c r="CA15" s="34">
        <f t="shared" si="60"/>
        <v>194310</v>
      </c>
      <c r="CB15" s="34">
        <v>2117</v>
      </c>
      <c r="CC15" s="16">
        <f t="shared" si="25"/>
        <v>196427</v>
      </c>
      <c r="CD15" s="86">
        <f t="shared" ref="CD15:CF15" si="63">CD9+CD10+CD11+CD12+CD13</f>
        <v>19050000</v>
      </c>
      <c r="CE15" s="34">
        <f t="shared" si="63"/>
        <v>-13218</v>
      </c>
      <c r="CF15" s="83">
        <f t="shared" si="63"/>
        <v>5832</v>
      </c>
      <c r="CG15" s="90">
        <f t="shared" si="60"/>
        <v>7493000</v>
      </c>
      <c r="CH15" s="34">
        <f t="shared" si="60"/>
        <v>284</v>
      </c>
      <c r="CI15" s="34">
        <f t="shared" si="60"/>
        <v>7777</v>
      </c>
      <c r="CJ15" s="34">
        <v>3089</v>
      </c>
      <c r="CK15" s="16">
        <f t="shared" si="26"/>
        <v>10866</v>
      </c>
      <c r="CL15" s="86">
        <v>0</v>
      </c>
      <c r="CM15" s="34">
        <f t="shared" si="60"/>
        <v>0</v>
      </c>
      <c r="CN15" s="83">
        <f t="shared" si="60"/>
        <v>0</v>
      </c>
      <c r="CO15" s="90">
        <f t="shared" si="60"/>
        <v>26687750</v>
      </c>
      <c r="CP15" s="34">
        <f t="shared" si="60"/>
        <v>-2511</v>
      </c>
      <c r="CQ15" s="34">
        <f t="shared" si="60"/>
        <v>24177</v>
      </c>
      <c r="CR15" s="34">
        <v>2511</v>
      </c>
      <c r="CS15" s="15">
        <f t="shared" si="27"/>
        <v>26688</v>
      </c>
      <c r="CT15" s="15">
        <v>14</v>
      </c>
      <c r="CU15" s="15">
        <f t="shared" si="28"/>
        <v>26702</v>
      </c>
      <c r="CV15" s="15">
        <f>SUM(CV11:CV13)</f>
        <v>6573</v>
      </c>
      <c r="CW15" s="16">
        <f t="shared" si="29"/>
        <v>33275</v>
      </c>
      <c r="CX15" s="86">
        <f>CX9+CX10+CX11+CX12+CX13</f>
        <v>3810000</v>
      </c>
      <c r="CY15" s="34">
        <f t="shared" si="60"/>
        <v>-60</v>
      </c>
      <c r="CZ15" s="34">
        <f t="shared" si="60"/>
        <v>3750</v>
      </c>
      <c r="DA15" s="34">
        <v>-1356</v>
      </c>
      <c r="DB15" s="16">
        <f t="shared" si="30"/>
        <v>2394</v>
      </c>
      <c r="DC15" s="86">
        <f t="shared" si="60"/>
        <v>0</v>
      </c>
      <c r="DD15" s="34">
        <f t="shared" si="60"/>
        <v>0</v>
      </c>
      <c r="DE15" s="34">
        <f>DE9+DE10+DE11+DE12+DE13</f>
        <v>0</v>
      </c>
      <c r="DF15" s="34"/>
      <c r="DG15" s="15">
        <f t="shared" si="31"/>
        <v>0</v>
      </c>
      <c r="DH15" s="15"/>
      <c r="DI15" s="15">
        <f t="shared" si="32"/>
        <v>0</v>
      </c>
      <c r="DJ15" s="15"/>
      <c r="DK15" s="15">
        <f t="shared" si="33"/>
        <v>0</v>
      </c>
      <c r="DL15" s="15"/>
      <c r="DM15" s="134">
        <f t="shared" si="34"/>
        <v>0</v>
      </c>
      <c r="DN15" s="90">
        <f t="shared" si="60"/>
        <v>0</v>
      </c>
      <c r="DO15" s="34">
        <f t="shared" si="60"/>
        <v>0</v>
      </c>
      <c r="DP15" s="34">
        <f t="shared" si="60"/>
        <v>0</v>
      </c>
      <c r="DQ15" s="34"/>
      <c r="DR15" s="34"/>
      <c r="DS15" s="34"/>
      <c r="DT15" s="15">
        <f t="shared" si="35"/>
        <v>0</v>
      </c>
      <c r="DU15" s="15"/>
      <c r="DV15" s="15"/>
      <c r="DW15" s="15"/>
      <c r="DX15" s="15">
        <f t="shared" si="36"/>
        <v>0</v>
      </c>
      <c r="DY15" s="15"/>
      <c r="DZ15" s="134">
        <f t="shared" si="37"/>
        <v>0</v>
      </c>
      <c r="EA15" s="90">
        <f t="shared" si="60"/>
        <v>0</v>
      </c>
      <c r="EB15" s="34">
        <f t="shared" si="60"/>
        <v>0</v>
      </c>
      <c r="EC15" s="34">
        <f t="shared" si="60"/>
        <v>0</v>
      </c>
      <c r="ED15" s="34"/>
      <c r="EE15" s="134">
        <f t="shared" si="38"/>
        <v>0</v>
      </c>
      <c r="EF15" s="90">
        <f>EF9+EF10+EF11+EF12+EF13</f>
        <v>1905000</v>
      </c>
      <c r="EG15" s="34"/>
      <c r="EH15" s="34">
        <v>1905</v>
      </c>
      <c r="EI15" s="34">
        <v>1500</v>
      </c>
      <c r="EJ15" s="16">
        <f t="shared" si="39"/>
        <v>3405</v>
      </c>
      <c r="EK15" s="86">
        <f>EK9+EK10+EK11+EK12+EK13</f>
        <v>8800000</v>
      </c>
      <c r="EL15" s="34">
        <v>63</v>
      </c>
      <c r="EM15" s="34">
        <v>8863</v>
      </c>
      <c r="EN15" s="34">
        <v>25</v>
      </c>
      <c r="EO15" s="15">
        <f t="shared" si="40"/>
        <v>8888</v>
      </c>
      <c r="EP15" s="15">
        <v>54</v>
      </c>
      <c r="EQ15" s="15">
        <f t="shared" si="41"/>
        <v>8942</v>
      </c>
      <c r="ER15" s="15">
        <v>42</v>
      </c>
      <c r="ES15" s="16">
        <f t="shared" si="42"/>
        <v>8984</v>
      </c>
      <c r="ET15" s="86">
        <f>ET9+ET10+ET11+ET12+ET13</f>
        <v>7000000</v>
      </c>
      <c r="EU15" s="34"/>
      <c r="EV15" s="34">
        <v>7000</v>
      </c>
      <c r="EW15" s="26"/>
      <c r="EX15" s="34"/>
      <c r="EY15" s="34"/>
      <c r="EZ15" s="26">
        <f>EZ9+EZ10+EZ11+EZ12+EZ13</f>
        <v>13844800</v>
      </c>
      <c r="FA15" s="34"/>
      <c r="FB15" s="34">
        <v>13845</v>
      </c>
      <c r="FC15" s="34"/>
      <c r="FD15" s="134">
        <f t="shared" si="43"/>
        <v>13845</v>
      </c>
      <c r="FE15" s="89">
        <v>2482</v>
      </c>
      <c r="FF15" s="34">
        <v>2482</v>
      </c>
      <c r="FG15" s="34">
        <v>482</v>
      </c>
      <c r="FH15" s="16">
        <f t="shared" si="58"/>
        <v>2964</v>
      </c>
      <c r="FI15" s="94">
        <v>3401</v>
      </c>
      <c r="FJ15" s="15">
        <f t="shared" si="0"/>
        <v>3401</v>
      </c>
      <c r="FK15" s="15">
        <v>29</v>
      </c>
      <c r="FL15" s="134">
        <f t="shared" si="44"/>
        <v>3430</v>
      </c>
      <c r="FM15" s="26"/>
      <c r="FN15" s="34"/>
      <c r="FO15" s="34"/>
      <c r="FP15" s="34"/>
      <c r="FQ15" s="15">
        <f t="shared" si="45"/>
        <v>0</v>
      </c>
      <c r="FR15" s="15"/>
      <c r="FS15" s="15">
        <f t="shared" si="46"/>
        <v>0</v>
      </c>
      <c r="FT15" s="94">
        <f>SUM(FT11:FT14)</f>
        <v>2839</v>
      </c>
      <c r="FU15" s="15">
        <f t="shared" si="47"/>
        <v>2839</v>
      </c>
      <c r="FV15" s="15">
        <v>1301</v>
      </c>
      <c r="FW15" s="134">
        <f>SUM(FU15:FV15)</f>
        <v>4140</v>
      </c>
      <c r="FX15" s="37"/>
      <c r="FY15" s="15">
        <f t="shared" si="49"/>
        <v>0</v>
      </c>
      <c r="FZ15" s="15">
        <v>6</v>
      </c>
      <c r="GA15" s="16">
        <f t="shared" si="50"/>
        <v>6</v>
      </c>
      <c r="GB15" s="37"/>
      <c r="GC15" s="16"/>
      <c r="GD15" s="161"/>
      <c r="GE15" s="134"/>
      <c r="GF15" s="37"/>
      <c r="GG15" s="15">
        <f t="shared" si="51"/>
        <v>0</v>
      </c>
      <c r="GH15" s="15">
        <v>240</v>
      </c>
      <c r="GI15" s="16">
        <f t="shared" si="59"/>
        <v>240</v>
      </c>
      <c r="GJ15" s="161"/>
      <c r="GK15" s="134">
        <f t="shared" si="52"/>
        <v>0</v>
      </c>
      <c r="GL15" s="37">
        <v>13218</v>
      </c>
      <c r="GM15" s="16">
        <v>13218</v>
      </c>
      <c r="GN15" s="257">
        <v>675592</v>
      </c>
      <c r="GO15" s="12">
        <f t="shared" si="1"/>
        <v>48719</v>
      </c>
      <c r="GP15" s="12">
        <v>-1572</v>
      </c>
      <c r="GQ15" s="35">
        <f>728383-1572</f>
        <v>726811</v>
      </c>
      <c r="GR15" s="113">
        <f>SUM(GR9:GR13)</f>
        <v>6661</v>
      </c>
      <c r="GS15" s="113">
        <f t="shared" si="53"/>
        <v>733472</v>
      </c>
      <c r="GT15" s="113">
        <f t="shared" si="2"/>
        <v>4837</v>
      </c>
      <c r="GU15" s="113">
        <f t="shared" si="54"/>
        <v>738309</v>
      </c>
      <c r="GV15" s="113">
        <f t="shared" si="3"/>
        <v>8445</v>
      </c>
      <c r="GW15" s="113">
        <f t="shared" si="55"/>
        <v>746754</v>
      </c>
      <c r="GX15" s="380">
        <f>SUM(GX9:GX13)</f>
        <v>51182</v>
      </c>
      <c r="GY15" s="381">
        <f t="shared" si="57"/>
        <v>797936</v>
      </c>
    </row>
    <row r="16" spans="1:207" x14ac:dyDescent="0.2">
      <c r="A16" s="21" t="s">
        <v>10</v>
      </c>
      <c r="B16" s="65" t="s">
        <v>44</v>
      </c>
      <c r="C16" s="115">
        <f>'[2]2016 ktgv kiadás_01'!$G$224</f>
        <v>0</v>
      </c>
      <c r="D16" s="17"/>
      <c r="E16" s="17"/>
      <c r="F16" s="17"/>
      <c r="G16" s="17"/>
      <c r="H16" s="15">
        <f t="shared" si="4"/>
        <v>0</v>
      </c>
      <c r="I16" s="15"/>
      <c r="J16" s="15">
        <f t="shared" si="5"/>
        <v>0</v>
      </c>
      <c r="K16" s="15"/>
      <c r="L16" s="15">
        <f t="shared" si="6"/>
        <v>0</v>
      </c>
      <c r="M16" s="15"/>
      <c r="N16" s="134">
        <f t="shared" si="7"/>
        <v>0</v>
      </c>
      <c r="O16" s="115">
        <v>19679758</v>
      </c>
      <c r="P16" s="17">
        <v>2381</v>
      </c>
      <c r="Q16" s="17">
        <v>22061</v>
      </c>
      <c r="R16" s="17">
        <v>-3881</v>
      </c>
      <c r="S16" s="15">
        <f t="shared" si="8"/>
        <v>18180</v>
      </c>
      <c r="T16" s="15"/>
      <c r="U16" s="15">
        <f t="shared" si="9"/>
        <v>18180</v>
      </c>
      <c r="V16" s="15">
        <v>3300</v>
      </c>
      <c r="W16" s="15">
        <f t="shared" si="10"/>
        <v>21480</v>
      </c>
      <c r="X16" s="15">
        <f>576-2293</f>
        <v>-1717</v>
      </c>
      <c r="Y16" s="134">
        <f t="shared" si="11"/>
        <v>19763</v>
      </c>
      <c r="Z16" s="115">
        <v>17000000</v>
      </c>
      <c r="AA16" s="17">
        <v>-7000</v>
      </c>
      <c r="AB16" s="17">
        <v>10000</v>
      </c>
      <c r="AC16" s="17"/>
      <c r="AD16" s="15">
        <f t="shared" si="12"/>
        <v>10000</v>
      </c>
      <c r="AE16" s="15">
        <v>-2126</v>
      </c>
      <c r="AF16" s="134">
        <f t="shared" si="13"/>
        <v>7874</v>
      </c>
      <c r="AG16" s="115">
        <v>0</v>
      </c>
      <c r="AH16" s="17"/>
      <c r="AI16" s="17"/>
      <c r="AJ16" s="17"/>
      <c r="AK16" s="15">
        <f t="shared" si="14"/>
        <v>0</v>
      </c>
      <c r="AL16" s="15"/>
      <c r="AM16" s="16">
        <f t="shared" si="15"/>
        <v>0</v>
      </c>
      <c r="AN16" s="84">
        <v>3000000</v>
      </c>
      <c r="AO16" s="17"/>
      <c r="AP16" s="17">
        <v>3000</v>
      </c>
      <c r="AQ16" s="17"/>
      <c r="AR16" s="134">
        <f t="shared" si="16"/>
        <v>3000</v>
      </c>
      <c r="AS16" s="115">
        <v>0</v>
      </c>
      <c r="AT16" s="17"/>
      <c r="AU16" s="17"/>
      <c r="AV16" s="17"/>
      <c r="AW16" s="134">
        <f t="shared" si="17"/>
        <v>0</v>
      </c>
      <c r="AX16" s="115">
        <v>0</v>
      </c>
      <c r="AY16" s="17"/>
      <c r="AZ16" s="17"/>
      <c r="BA16" s="17"/>
      <c r="BB16" s="17"/>
      <c r="BC16" s="15">
        <f t="shared" si="18"/>
        <v>0</v>
      </c>
      <c r="BD16" s="15"/>
      <c r="BE16" s="15">
        <f t="shared" si="19"/>
        <v>0</v>
      </c>
      <c r="BF16" s="15"/>
      <c r="BG16" s="16">
        <f t="shared" si="20"/>
        <v>0</v>
      </c>
      <c r="BH16" s="84">
        <v>0</v>
      </c>
      <c r="BI16" s="17"/>
      <c r="BJ16" s="17"/>
      <c r="BK16" s="17"/>
      <c r="BL16" s="15">
        <f t="shared" si="21"/>
        <v>0</v>
      </c>
      <c r="BM16" s="15"/>
      <c r="BN16" s="16">
        <f t="shared" si="22"/>
        <v>0</v>
      </c>
      <c r="BO16" s="115">
        <v>0</v>
      </c>
      <c r="BP16" s="17"/>
      <c r="BQ16" s="17"/>
      <c r="BR16" s="17"/>
      <c r="BS16" s="134">
        <f t="shared" si="23"/>
        <v>0</v>
      </c>
      <c r="BT16" s="115">
        <v>0</v>
      </c>
      <c r="BU16" s="17"/>
      <c r="BV16" s="17"/>
      <c r="BW16" s="17"/>
      <c r="BX16" s="16">
        <f t="shared" si="24"/>
        <v>0</v>
      </c>
      <c r="BY16" s="84">
        <v>0</v>
      </c>
      <c r="BZ16" s="17"/>
      <c r="CA16" s="17"/>
      <c r="CB16" s="17">
        <v>69</v>
      </c>
      <c r="CC16" s="16">
        <f t="shared" si="25"/>
        <v>69</v>
      </c>
      <c r="CD16" s="84">
        <v>0</v>
      </c>
      <c r="CE16" s="17"/>
      <c r="CF16" s="81"/>
      <c r="CG16" s="115">
        <v>0</v>
      </c>
      <c r="CH16" s="17"/>
      <c r="CI16" s="17"/>
      <c r="CJ16" s="17"/>
      <c r="CK16" s="16">
        <f t="shared" si="26"/>
        <v>0</v>
      </c>
      <c r="CL16" s="84">
        <v>31200000</v>
      </c>
      <c r="CM16" s="17"/>
      <c r="CN16" s="81">
        <v>31200</v>
      </c>
      <c r="CO16" s="115">
        <v>0</v>
      </c>
      <c r="CP16" s="17"/>
      <c r="CQ16" s="17"/>
      <c r="CR16" s="17"/>
      <c r="CS16" s="15">
        <f t="shared" si="27"/>
        <v>0</v>
      </c>
      <c r="CT16" s="15"/>
      <c r="CU16" s="15">
        <f t="shared" si="28"/>
        <v>0</v>
      </c>
      <c r="CV16" s="15"/>
      <c r="CW16" s="16">
        <f t="shared" si="29"/>
        <v>0</v>
      </c>
      <c r="CX16" s="84">
        <v>0</v>
      </c>
      <c r="CY16" s="17"/>
      <c r="CZ16" s="17"/>
      <c r="DA16" s="17"/>
      <c r="DB16" s="16">
        <f t="shared" si="30"/>
        <v>0</v>
      </c>
      <c r="DC16" s="84">
        <v>0</v>
      </c>
      <c r="DD16" s="17"/>
      <c r="DE16" s="17"/>
      <c r="DF16" s="17"/>
      <c r="DG16" s="15">
        <f t="shared" si="31"/>
        <v>0</v>
      </c>
      <c r="DH16" s="15"/>
      <c r="DI16" s="15">
        <f t="shared" si="32"/>
        <v>0</v>
      </c>
      <c r="DJ16" s="15"/>
      <c r="DK16" s="15">
        <f t="shared" si="33"/>
        <v>0</v>
      </c>
      <c r="DL16" s="15"/>
      <c r="DM16" s="134">
        <f t="shared" si="34"/>
        <v>0</v>
      </c>
      <c r="DN16" s="115">
        <v>0</v>
      </c>
      <c r="DO16" s="17"/>
      <c r="DP16" s="17"/>
      <c r="DQ16" s="17"/>
      <c r="DR16" s="17"/>
      <c r="DS16" s="17"/>
      <c r="DT16" s="15">
        <f t="shared" si="35"/>
        <v>0</v>
      </c>
      <c r="DU16" s="15"/>
      <c r="DV16" s="15"/>
      <c r="DW16" s="15"/>
      <c r="DX16" s="15">
        <f t="shared" si="36"/>
        <v>0</v>
      </c>
      <c r="DY16" s="15"/>
      <c r="DZ16" s="134">
        <f t="shared" si="37"/>
        <v>0</v>
      </c>
      <c r="EA16" s="115">
        <v>0</v>
      </c>
      <c r="EB16" s="17"/>
      <c r="EC16" s="17"/>
      <c r="ED16" s="17"/>
      <c r="EE16" s="134">
        <f t="shared" si="38"/>
        <v>0</v>
      </c>
      <c r="EF16" s="115">
        <v>0</v>
      </c>
      <c r="EG16" s="17"/>
      <c r="EH16" s="17"/>
      <c r="EI16" s="17"/>
      <c r="EJ16" s="16">
        <f t="shared" si="39"/>
        <v>0</v>
      </c>
      <c r="EK16" s="84">
        <v>0</v>
      </c>
      <c r="EL16" s="17"/>
      <c r="EM16" s="17"/>
      <c r="EN16" s="17"/>
      <c r="EO16" s="15">
        <f t="shared" si="40"/>
        <v>0</v>
      </c>
      <c r="EP16" s="15"/>
      <c r="EQ16" s="15">
        <f t="shared" si="41"/>
        <v>0</v>
      </c>
      <c r="ER16" s="15"/>
      <c r="ES16" s="16">
        <f t="shared" si="42"/>
        <v>0</v>
      </c>
      <c r="ET16" s="84">
        <v>33020000</v>
      </c>
      <c r="EU16" s="17">
        <v>-18020</v>
      </c>
      <c r="EV16" s="17">
        <v>15000</v>
      </c>
      <c r="EW16" s="27"/>
      <c r="EX16" s="17"/>
      <c r="EY16" s="17"/>
      <c r="EZ16" s="27">
        <v>285338760</v>
      </c>
      <c r="FA16" s="17"/>
      <c r="FB16" s="17">
        <v>285339</v>
      </c>
      <c r="FC16" s="17">
        <v>16330</v>
      </c>
      <c r="FD16" s="134">
        <f t="shared" si="43"/>
        <v>301669</v>
      </c>
      <c r="FE16" s="87"/>
      <c r="FF16" s="17"/>
      <c r="FG16" s="17"/>
      <c r="FH16" s="16">
        <f t="shared" si="58"/>
        <v>0</v>
      </c>
      <c r="FI16" s="93">
        <f>3881+37159</f>
        <v>41040</v>
      </c>
      <c r="FJ16" s="15">
        <f t="shared" si="0"/>
        <v>41040</v>
      </c>
      <c r="FK16" s="15">
        <v>-41040</v>
      </c>
      <c r="FL16" s="134">
        <f t="shared" si="44"/>
        <v>0</v>
      </c>
      <c r="FM16" s="27">
        <f>101059021-31200000</f>
        <v>69859021</v>
      </c>
      <c r="FN16" s="17">
        <v>-3881</v>
      </c>
      <c r="FO16" s="17">
        <v>65978</v>
      </c>
      <c r="FP16" s="17">
        <f>-26390-38000</f>
        <v>-64390</v>
      </c>
      <c r="FQ16" s="15">
        <f t="shared" si="45"/>
        <v>1588</v>
      </c>
      <c r="FR16" s="15">
        <v>-1588</v>
      </c>
      <c r="FS16" s="15">
        <f t="shared" si="46"/>
        <v>0</v>
      </c>
      <c r="FT16" s="93">
        <f>26390+53934</f>
        <v>80324</v>
      </c>
      <c r="FU16" s="15">
        <f t="shared" si="47"/>
        <v>80324</v>
      </c>
      <c r="FV16" s="15">
        <v>39758</v>
      </c>
      <c r="FW16" s="134">
        <f t="shared" ref="FW16:FW41" si="64">SUM(FU16:FV16)</f>
        <v>120082</v>
      </c>
      <c r="FX16" s="37">
        <v>10000</v>
      </c>
      <c r="FY16" s="15">
        <f t="shared" si="49"/>
        <v>10000</v>
      </c>
      <c r="FZ16" s="15">
        <v>-6</v>
      </c>
      <c r="GA16" s="16">
        <f t="shared" si="50"/>
        <v>9994</v>
      </c>
      <c r="GB16" s="37"/>
      <c r="GC16" s="16"/>
      <c r="GD16" s="161"/>
      <c r="GE16" s="134"/>
      <c r="GF16" s="37">
        <f>18020+38000</f>
        <v>56020</v>
      </c>
      <c r="GG16" s="15">
        <f t="shared" si="51"/>
        <v>56020</v>
      </c>
      <c r="GH16" s="15">
        <v>-240</v>
      </c>
      <c r="GI16" s="16">
        <f t="shared" si="59"/>
        <v>55780</v>
      </c>
      <c r="GJ16" s="161">
        <v>10000</v>
      </c>
      <c r="GK16" s="134">
        <f t="shared" si="52"/>
        <v>10000</v>
      </c>
      <c r="GL16" s="37"/>
      <c r="GM16" s="16"/>
      <c r="GN16" s="299">
        <f>C16+O16+Z16+AG16+AN16+AS16+AX16+BH16+BO16+BT16+BY16+CD16+CG16+CL16+CO16+CX16+DC16+DN16+EA16+EF16+EK16+ET16+EW16+EZ16+FM16</f>
        <v>459097539</v>
      </c>
      <c r="GO16" s="12">
        <v>2381</v>
      </c>
      <c r="GP16" s="12"/>
      <c r="GQ16" s="12">
        <v>461479</v>
      </c>
      <c r="GR16" s="113">
        <f>G16+R16+BK16+DF16+DS16+EN16+FC16+FI16</f>
        <v>53489</v>
      </c>
      <c r="GS16" s="113">
        <f t="shared" si="53"/>
        <v>514968</v>
      </c>
      <c r="GT16" s="113">
        <f t="shared" si="2"/>
        <v>56934</v>
      </c>
      <c r="GU16" s="113">
        <f t="shared" si="54"/>
        <v>571902</v>
      </c>
      <c r="GV16" s="113">
        <f t="shared" si="3"/>
        <v>3300</v>
      </c>
      <c r="GW16" s="113">
        <f t="shared" si="55"/>
        <v>575202</v>
      </c>
      <c r="GX16" s="380">
        <f t="shared" si="56"/>
        <v>3110</v>
      </c>
      <c r="GY16" s="381">
        <f t="shared" si="57"/>
        <v>578312</v>
      </c>
    </row>
    <row r="17" spans="1:207" x14ac:dyDescent="0.2">
      <c r="A17" s="21" t="s">
        <v>11</v>
      </c>
      <c r="B17" s="65" t="s">
        <v>45</v>
      </c>
      <c r="C17" s="115">
        <v>0</v>
      </c>
      <c r="D17" s="17"/>
      <c r="E17" s="17"/>
      <c r="F17" s="17"/>
      <c r="G17" s="17"/>
      <c r="H17" s="15">
        <f t="shared" si="4"/>
        <v>0</v>
      </c>
      <c r="I17" s="15"/>
      <c r="J17" s="15">
        <f t="shared" si="5"/>
        <v>0</v>
      </c>
      <c r="K17" s="15"/>
      <c r="L17" s="15">
        <f t="shared" si="6"/>
        <v>0</v>
      </c>
      <c r="M17" s="15"/>
      <c r="N17" s="134">
        <f t="shared" si="7"/>
        <v>0</v>
      </c>
      <c r="O17" s="115">
        <v>32030197</v>
      </c>
      <c r="P17" s="17">
        <v>9390</v>
      </c>
      <c r="Q17" s="17">
        <v>41420</v>
      </c>
      <c r="R17" s="17"/>
      <c r="S17" s="15">
        <f t="shared" si="8"/>
        <v>41420</v>
      </c>
      <c r="T17" s="15"/>
      <c r="U17" s="15">
        <f t="shared" si="9"/>
        <v>41420</v>
      </c>
      <c r="V17" s="15">
        <v>3600</v>
      </c>
      <c r="W17" s="15">
        <f t="shared" si="10"/>
        <v>45020</v>
      </c>
      <c r="X17" s="15">
        <v>-16809</v>
      </c>
      <c r="Y17" s="134">
        <f t="shared" si="11"/>
        <v>28211</v>
      </c>
      <c r="Z17" s="115">
        <v>0</v>
      </c>
      <c r="AA17" s="17">
        <f>17000+7000</f>
        <v>24000</v>
      </c>
      <c r="AB17" s="17">
        <v>24000</v>
      </c>
      <c r="AC17" s="17"/>
      <c r="AD17" s="15">
        <f t="shared" si="12"/>
        <v>24000</v>
      </c>
      <c r="AE17" s="15"/>
      <c r="AF17" s="134">
        <f t="shared" si="13"/>
        <v>24000</v>
      </c>
      <c r="AG17" s="115">
        <v>0</v>
      </c>
      <c r="AH17" s="17"/>
      <c r="AI17" s="17"/>
      <c r="AJ17" s="17"/>
      <c r="AK17" s="15">
        <f t="shared" si="14"/>
        <v>0</v>
      </c>
      <c r="AL17" s="15"/>
      <c r="AM17" s="16">
        <f t="shared" si="15"/>
        <v>0</v>
      </c>
      <c r="AN17" s="84">
        <v>0</v>
      </c>
      <c r="AO17" s="17"/>
      <c r="AP17" s="17"/>
      <c r="AQ17" s="17"/>
      <c r="AR17" s="134">
        <f t="shared" si="16"/>
        <v>0</v>
      </c>
      <c r="AS17" s="115">
        <v>0</v>
      </c>
      <c r="AT17" s="17"/>
      <c r="AU17" s="17"/>
      <c r="AV17" s="17"/>
      <c r="AW17" s="134">
        <f t="shared" si="17"/>
        <v>0</v>
      </c>
      <c r="AX17" s="115">
        <v>0</v>
      </c>
      <c r="AY17" s="17"/>
      <c r="AZ17" s="17"/>
      <c r="BA17" s="17"/>
      <c r="BB17" s="17"/>
      <c r="BC17" s="15">
        <f t="shared" si="18"/>
        <v>0</v>
      </c>
      <c r="BD17" s="15"/>
      <c r="BE17" s="15">
        <f t="shared" si="19"/>
        <v>0</v>
      </c>
      <c r="BF17" s="15"/>
      <c r="BG17" s="16">
        <f t="shared" si="20"/>
        <v>0</v>
      </c>
      <c r="BH17" s="84"/>
      <c r="BI17" s="17"/>
      <c r="BJ17" s="17"/>
      <c r="BK17" s="17"/>
      <c r="BL17" s="15">
        <f t="shared" si="21"/>
        <v>0</v>
      </c>
      <c r="BM17" s="15"/>
      <c r="BN17" s="16">
        <f t="shared" si="22"/>
        <v>0</v>
      </c>
      <c r="BO17" s="115">
        <v>0</v>
      </c>
      <c r="BP17" s="17"/>
      <c r="BQ17" s="17"/>
      <c r="BR17" s="17"/>
      <c r="BS17" s="134">
        <f t="shared" si="23"/>
        <v>0</v>
      </c>
      <c r="BT17" s="115">
        <v>0</v>
      </c>
      <c r="BU17" s="17"/>
      <c r="BV17" s="17"/>
      <c r="BW17" s="17"/>
      <c r="BX17" s="16">
        <f t="shared" si="24"/>
        <v>0</v>
      </c>
      <c r="BY17" s="84">
        <v>0</v>
      </c>
      <c r="BZ17" s="17"/>
      <c r="CA17" s="17"/>
      <c r="CB17" s="17"/>
      <c r="CC17" s="16">
        <f t="shared" si="25"/>
        <v>0</v>
      </c>
      <c r="CD17" s="84">
        <v>0</v>
      </c>
      <c r="CE17" s="17"/>
      <c r="CF17" s="81"/>
      <c r="CG17" s="115">
        <v>0</v>
      </c>
      <c r="CH17" s="17"/>
      <c r="CI17" s="17"/>
      <c r="CJ17" s="17"/>
      <c r="CK17" s="16">
        <f t="shared" si="26"/>
        <v>0</v>
      </c>
      <c r="CL17" s="84">
        <v>11426000</v>
      </c>
      <c r="CM17" s="17"/>
      <c r="CN17" s="81">
        <v>11426</v>
      </c>
      <c r="CO17" s="115">
        <v>0</v>
      </c>
      <c r="CP17" s="17"/>
      <c r="CQ17" s="17"/>
      <c r="CR17" s="17"/>
      <c r="CS17" s="15">
        <f t="shared" si="27"/>
        <v>0</v>
      </c>
      <c r="CT17" s="15"/>
      <c r="CU17" s="15">
        <f t="shared" si="28"/>
        <v>0</v>
      </c>
      <c r="CV17" s="15"/>
      <c r="CW17" s="16">
        <f t="shared" si="29"/>
        <v>0</v>
      </c>
      <c r="CX17" s="84">
        <v>0</v>
      </c>
      <c r="CY17" s="17"/>
      <c r="CZ17" s="17"/>
      <c r="DA17" s="17"/>
      <c r="DB17" s="16">
        <f t="shared" si="30"/>
        <v>0</v>
      </c>
      <c r="DC17" s="84">
        <v>0</v>
      </c>
      <c r="DD17" s="17"/>
      <c r="DE17" s="17"/>
      <c r="DF17" s="17"/>
      <c r="DG17" s="15">
        <f t="shared" si="31"/>
        <v>0</v>
      </c>
      <c r="DH17" s="15"/>
      <c r="DI17" s="15">
        <f t="shared" si="32"/>
        <v>0</v>
      </c>
      <c r="DJ17" s="15"/>
      <c r="DK17" s="15">
        <f t="shared" si="33"/>
        <v>0</v>
      </c>
      <c r="DL17" s="15"/>
      <c r="DM17" s="134">
        <f t="shared" si="34"/>
        <v>0</v>
      </c>
      <c r="DN17" s="115">
        <v>0</v>
      </c>
      <c r="DO17" s="17"/>
      <c r="DP17" s="17"/>
      <c r="DQ17" s="17"/>
      <c r="DR17" s="17"/>
      <c r="DS17" s="17"/>
      <c r="DT17" s="15">
        <f t="shared" si="35"/>
        <v>0</v>
      </c>
      <c r="DU17" s="15"/>
      <c r="DV17" s="15"/>
      <c r="DW17" s="15"/>
      <c r="DX17" s="15">
        <f t="shared" si="36"/>
        <v>0</v>
      </c>
      <c r="DY17" s="15"/>
      <c r="DZ17" s="134">
        <f t="shared" si="37"/>
        <v>0</v>
      </c>
      <c r="EA17" s="115">
        <v>0</v>
      </c>
      <c r="EB17" s="17"/>
      <c r="EC17" s="17"/>
      <c r="ED17" s="17"/>
      <c r="EE17" s="134">
        <f t="shared" si="38"/>
        <v>0</v>
      </c>
      <c r="EF17" s="115">
        <v>0</v>
      </c>
      <c r="EG17" s="17"/>
      <c r="EH17" s="17"/>
      <c r="EI17" s="17"/>
      <c r="EJ17" s="16">
        <f t="shared" si="39"/>
        <v>0</v>
      </c>
      <c r="EK17" s="84">
        <v>0</v>
      </c>
      <c r="EL17" s="17"/>
      <c r="EM17" s="17"/>
      <c r="EN17" s="17"/>
      <c r="EO17" s="15">
        <f t="shared" si="40"/>
        <v>0</v>
      </c>
      <c r="EP17" s="15"/>
      <c r="EQ17" s="15">
        <f t="shared" si="41"/>
        <v>0</v>
      </c>
      <c r="ER17" s="15"/>
      <c r="ES17" s="16">
        <f t="shared" si="42"/>
        <v>0</v>
      </c>
      <c r="ET17" s="84">
        <v>0</v>
      </c>
      <c r="EU17" s="17"/>
      <c r="EV17" s="17"/>
      <c r="EW17" s="27"/>
      <c r="EX17" s="17"/>
      <c r="EY17" s="17"/>
      <c r="EZ17" s="27">
        <v>0</v>
      </c>
      <c r="FA17" s="17"/>
      <c r="FB17" s="17"/>
      <c r="FC17" s="17"/>
      <c r="FD17" s="134">
        <f t="shared" si="43"/>
        <v>0</v>
      </c>
      <c r="FE17" s="87"/>
      <c r="FF17" s="17"/>
      <c r="FG17" s="17">
        <v>1409</v>
      </c>
      <c r="FH17" s="16">
        <f t="shared" si="58"/>
        <v>1409</v>
      </c>
      <c r="FI17" s="93"/>
      <c r="FJ17" s="15">
        <f t="shared" si="0"/>
        <v>0</v>
      </c>
      <c r="FK17" s="15">
        <v>61015</v>
      </c>
      <c r="FL17" s="134">
        <f t="shared" si="44"/>
        <v>61015</v>
      </c>
      <c r="FM17" s="27">
        <f>68347620-11425744</f>
        <v>56921876</v>
      </c>
      <c r="FN17" s="17"/>
      <c r="FO17" s="17">
        <v>56922</v>
      </c>
      <c r="FP17" s="17">
        <v>-17000</v>
      </c>
      <c r="FQ17" s="15">
        <f t="shared" si="45"/>
        <v>39922</v>
      </c>
      <c r="FR17" s="15">
        <v>-14409</v>
      </c>
      <c r="FS17" s="15">
        <f t="shared" si="46"/>
        <v>25513</v>
      </c>
      <c r="FT17" s="93"/>
      <c r="FU17" s="15">
        <f t="shared" si="47"/>
        <v>0</v>
      </c>
      <c r="FV17" s="15">
        <v>0</v>
      </c>
      <c r="FW17" s="134">
        <f t="shared" si="64"/>
        <v>0</v>
      </c>
      <c r="FX17" s="37"/>
      <c r="FY17" s="15">
        <f t="shared" si="49"/>
        <v>0</v>
      </c>
      <c r="FZ17" s="15"/>
      <c r="GA17" s="16">
        <f t="shared" si="50"/>
        <v>0</v>
      </c>
      <c r="GB17" s="37">
        <v>13000</v>
      </c>
      <c r="GC17" s="16">
        <v>13000</v>
      </c>
      <c r="GD17" s="161">
        <v>30000</v>
      </c>
      <c r="GE17" s="134">
        <v>30000</v>
      </c>
      <c r="GF17" s="37"/>
      <c r="GG17" s="15">
        <f t="shared" si="51"/>
        <v>0</v>
      </c>
      <c r="GH17" s="15"/>
      <c r="GI17" s="16">
        <f t="shared" si="59"/>
        <v>0</v>
      </c>
      <c r="GJ17" s="161"/>
      <c r="GK17" s="134">
        <f t="shared" si="52"/>
        <v>0</v>
      </c>
      <c r="GL17" s="37"/>
      <c r="GM17" s="16"/>
      <c r="GN17" s="299">
        <f>C17+O17+Z17+AG17+AN17+AS17+AX17+BH17+BO17+BT17+BY17+CD17+CG17+CL17+CO17+CX17+DC17+DN17+EA17+EF17+EK17+ET17+EW17+EZ17+FM17</f>
        <v>100378073</v>
      </c>
      <c r="GO17" s="12">
        <f>D17+P17+AA17+AH17+AO17+AT17+AY17+BI17+BP17+BU17+BZ17+CE17+CH17+CM17+CP17+CY17+DD17+DO17+EB17+EG17+EL17+EU17+EX17+FA17+FF17+FN17</f>
        <v>33390</v>
      </c>
      <c r="GP17" s="12"/>
      <c r="GQ17" s="12">
        <v>109768</v>
      </c>
      <c r="GR17" s="113">
        <f>G17+R17+BK17+DF17+DS17+EN17+FC17+FI17</f>
        <v>0</v>
      </c>
      <c r="GS17" s="113">
        <f t="shared" si="53"/>
        <v>109768</v>
      </c>
      <c r="GT17" s="113">
        <f t="shared" si="2"/>
        <v>7000</v>
      </c>
      <c r="GU17" s="113">
        <f t="shared" si="54"/>
        <v>116768</v>
      </c>
      <c r="GV17" s="113">
        <f t="shared" si="3"/>
        <v>3600</v>
      </c>
      <c r="GW17" s="113">
        <f t="shared" si="55"/>
        <v>120368</v>
      </c>
      <c r="GX17" s="380">
        <f t="shared" si="56"/>
        <v>74206</v>
      </c>
      <c r="GY17" s="381">
        <f t="shared" si="57"/>
        <v>194574</v>
      </c>
    </row>
    <row r="18" spans="1:207" x14ac:dyDescent="0.2">
      <c r="A18" s="21" t="s">
        <v>12</v>
      </c>
      <c r="B18" s="65" t="s">
        <v>46</v>
      </c>
      <c r="C18" s="115">
        <v>0</v>
      </c>
      <c r="D18" s="17"/>
      <c r="E18" s="17"/>
      <c r="F18" s="17"/>
      <c r="G18" s="17"/>
      <c r="H18" s="15">
        <f t="shared" si="4"/>
        <v>0</v>
      </c>
      <c r="I18" s="15"/>
      <c r="J18" s="15">
        <f t="shared" si="5"/>
        <v>0</v>
      </c>
      <c r="K18" s="15"/>
      <c r="L18" s="15">
        <f t="shared" si="6"/>
        <v>0</v>
      </c>
      <c r="M18" s="15"/>
      <c r="N18" s="134">
        <f t="shared" si="7"/>
        <v>0</v>
      </c>
      <c r="O18" s="115">
        <v>0</v>
      </c>
      <c r="P18" s="17"/>
      <c r="Q18" s="17"/>
      <c r="R18" s="17"/>
      <c r="S18" s="15">
        <f t="shared" si="8"/>
        <v>0</v>
      </c>
      <c r="T18" s="15"/>
      <c r="U18" s="15">
        <f t="shared" si="9"/>
        <v>0</v>
      </c>
      <c r="V18" s="15"/>
      <c r="W18" s="15">
        <f t="shared" si="10"/>
        <v>0</v>
      </c>
      <c r="X18" s="15"/>
      <c r="Y18" s="134">
        <f t="shared" si="11"/>
        <v>0</v>
      </c>
      <c r="Z18" s="115">
        <v>0</v>
      </c>
      <c r="AA18" s="17"/>
      <c r="AB18" s="17"/>
      <c r="AC18" s="17"/>
      <c r="AD18" s="15">
        <f t="shared" si="12"/>
        <v>0</v>
      </c>
      <c r="AE18" s="15"/>
      <c r="AF18" s="134">
        <f t="shared" si="13"/>
        <v>0</v>
      </c>
      <c r="AG18" s="115">
        <v>0</v>
      </c>
      <c r="AH18" s="17"/>
      <c r="AI18" s="17"/>
      <c r="AJ18" s="17"/>
      <c r="AK18" s="15">
        <f t="shared" si="14"/>
        <v>0</v>
      </c>
      <c r="AL18" s="15"/>
      <c r="AM18" s="16">
        <f t="shared" si="15"/>
        <v>0</v>
      </c>
      <c r="AN18" s="84">
        <v>0</v>
      </c>
      <c r="AO18" s="17"/>
      <c r="AP18" s="17"/>
      <c r="AQ18" s="17"/>
      <c r="AR18" s="134">
        <f t="shared" si="16"/>
        <v>0</v>
      </c>
      <c r="AS18" s="115">
        <v>0</v>
      </c>
      <c r="AT18" s="17"/>
      <c r="AU18" s="17"/>
      <c r="AV18" s="17"/>
      <c r="AW18" s="134">
        <f t="shared" si="17"/>
        <v>0</v>
      </c>
      <c r="AX18" s="115">
        <v>0</v>
      </c>
      <c r="AY18" s="17"/>
      <c r="AZ18" s="17"/>
      <c r="BA18" s="17"/>
      <c r="BB18" s="17"/>
      <c r="BC18" s="15">
        <f t="shared" si="18"/>
        <v>0</v>
      </c>
      <c r="BD18" s="15"/>
      <c r="BE18" s="15">
        <f t="shared" si="19"/>
        <v>0</v>
      </c>
      <c r="BF18" s="15"/>
      <c r="BG18" s="16">
        <f t="shared" si="20"/>
        <v>0</v>
      </c>
      <c r="BH18" s="84">
        <v>0</v>
      </c>
      <c r="BI18" s="17"/>
      <c r="BJ18" s="17"/>
      <c r="BK18" s="17"/>
      <c r="BL18" s="15">
        <f t="shared" si="21"/>
        <v>0</v>
      </c>
      <c r="BM18" s="15"/>
      <c r="BN18" s="16">
        <f t="shared" si="22"/>
        <v>0</v>
      </c>
      <c r="BO18" s="115">
        <v>150000</v>
      </c>
      <c r="BP18" s="17"/>
      <c r="BQ18" s="17">
        <v>150</v>
      </c>
      <c r="BR18" s="17"/>
      <c r="BS18" s="134">
        <f t="shared" si="23"/>
        <v>150</v>
      </c>
      <c r="BT18" s="115">
        <v>0</v>
      </c>
      <c r="BU18" s="17"/>
      <c r="BV18" s="17"/>
      <c r="BW18" s="17"/>
      <c r="BX18" s="16">
        <f t="shared" si="24"/>
        <v>0</v>
      </c>
      <c r="BY18" s="84">
        <v>0</v>
      </c>
      <c r="BZ18" s="17"/>
      <c r="CA18" s="17"/>
      <c r="CB18" s="17"/>
      <c r="CC18" s="16">
        <f t="shared" si="25"/>
        <v>0</v>
      </c>
      <c r="CD18" s="84">
        <v>0</v>
      </c>
      <c r="CE18" s="17"/>
      <c r="CF18" s="81"/>
      <c r="CG18" s="115">
        <v>0</v>
      </c>
      <c r="CH18" s="17"/>
      <c r="CI18" s="17"/>
      <c r="CJ18" s="17"/>
      <c r="CK18" s="16">
        <f t="shared" si="26"/>
        <v>0</v>
      </c>
      <c r="CL18" s="84">
        <v>0</v>
      </c>
      <c r="CM18" s="17"/>
      <c r="CN18" s="81"/>
      <c r="CO18" s="115">
        <v>0</v>
      </c>
      <c r="CP18" s="17"/>
      <c r="CQ18" s="17"/>
      <c r="CR18" s="17"/>
      <c r="CS18" s="15">
        <f t="shared" si="27"/>
        <v>0</v>
      </c>
      <c r="CT18" s="15"/>
      <c r="CU18" s="15">
        <f t="shared" si="28"/>
        <v>0</v>
      </c>
      <c r="CV18" s="15"/>
      <c r="CW18" s="16">
        <f t="shared" si="29"/>
        <v>0</v>
      </c>
      <c r="CX18" s="84">
        <v>0</v>
      </c>
      <c r="CY18" s="17"/>
      <c r="CZ18" s="17"/>
      <c r="DA18" s="17"/>
      <c r="DB18" s="16">
        <f t="shared" si="30"/>
        <v>0</v>
      </c>
      <c r="DC18" s="84">
        <v>0</v>
      </c>
      <c r="DD18" s="17"/>
      <c r="DE18" s="17"/>
      <c r="DF18" s="17"/>
      <c r="DG18" s="15">
        <f t="shared" si="31"/>
        <v>0</v>
      </c>
      <c r="DH18" s="15"/>
      <c r="DI18" s="15">
        <f t="shared" si="32"/>
        <v>0</v>
      </c>
      <c r="DJ18" s="15"/>
      <c r="DK18" s="15">
        <f t="shared" si="33"/>
        <v>0</v>
      </c>
      <c r="DL18" s="15"/>
      <c r="DM18" s="134">
        <f t="shared" si="34"/>
        <v>0</v>
      </c>
      <c r="DN18" s="115">
        <v>0</v>
      </c>
      <c r="DO18" s="17"/>
      <c r="DP18" s="17"/>
      <c r="DQ18" s="17"/>
      <c r="DR18" s="17"/>
      <c r="DS18" s="17"/>
      <c r="DT18" s="15">
        <f t="shared" si="35"/>
        <v>0</v>
      </c>
      <c r="DU18" s="15"/>
      <c r="DV18" s="15"/>
      <c r="DW18" s="15"/>
      <c r="DX18" s="15">
        <f t="shared" si="36"/>
        <v>0</v>
      </c>
      <c r="DY18" s="15"/>
      <c r="DZ18" s="134">
        <f t="shared" si="37"/>
        <v>0</v>
      </c>
      <c r="EA18" s="115">
        <v>0</v>
      </c>
      <c r="EB18" s="17"/>
      <c r="EC18" s="17"/>
      <c r="ED18" s="17"/>
      <c r="EE18" s="134">
        <f t="shared" si="38"/>
        <v>0</v>
      </c>
      <c r="EF18" s="115"/>
      <c r="EG18" s="17"/>
      <c r="EH18" s="17"/>
      <c r="EI18" s="17"/>
      <c r="EJ18" s="16">
        <f t="shared" si="39"/>
        <v>0</v>
      </c>
      <c r="EK18" s="84"/>
      <c r="EL18" s="17"/>
      <c r="EM18" s="17"/>
      <c r="EN18" s="17"/>
      <c r="EO18" s="15">
        <f t="shared" si="40"/>
        <v>0</v>
      </c>
      <c r="EP18" s="15"/>
      <c r="EQ18" s="15">
        <f t="shared" si="41"/>
        <v>0</v>
      </c>
      <c r="ER18" s="15"/>
      <c r="ES18" s="16">
        <f t="shared" si="42"/>
        <v>0</v>
      </c>
      <c r="ET18" s="84"/>
      <c r="EU18" s="17"/>
      <c r="EV18" s="17"/>
      <c r="EW18" s="27"/>
      <c r="EX18" s="17"/>
      <c r="EY18" s="17"/>
      <c r="EZ18" s="27"/>
      <c r="FA18" s="17"/>
      <c r="FB18" s="17"/>
      <c r="FC18" s="17"/>
      <c r="FD18" s="134">
        <f t="shared" si="43"/>
        <v>0</v>
      </c>
      <c r="FE18" s="87"/>
      <c r="FF18" s="17"/>
      <c r="FG18" s="17"/>
      <c r="FH18" s="16">
        <f t="shared" si="58"/>
        <v>0</v>
      </c>
      <c r="FI18" s="93"/>
      <c r="FJ18" s="15">
        <f t="shared" si="0"/>
        <v>0</v>
      </c>
      <c r="FK18" s="15"/>
      <c r="FL18" s="134">
        <f t="shared" si="44"/>
        <v>0</v>
      </c>
      <c r="FM18" s="27"/>
      <c r="FN18" s="17"/>
      <c r="FO18" s="17"/>
      <c r="FP18" s="17"/>
      <c r="FQ18" s="15">
        <f t="shared" si="45"/>
        <v>0</v>
      </c>
      <c r="FR18" s="15"/>
      <c r="FS18" s="15">
        <f t="shared" si="46"/>
        <v>0</v>
      </c>
      <c r="FT18" s="93"/>
      <c r="FU18" s="15">
        <f t="shared" si="47"/>
        <v>0</v>
      </c>
      <c r="FV18" s="15"/>
      <c r="FW18" s="134">
        <f t="shared" si="64"/>
        <v>0</v>
      </c>
      <c r="FX18" s="37"/>
      <c r="FY18" s="15">
        <f t="shared" si="49"/>
        <v>0</v>
      </c>
      <c r="FZ18" s="15"/>
      <c r="GA18" s="16">
        <f t="shared" si="50"/>
        <v>0</v>
      </c>
      <c r="GB18" s="37"/>
      <c r="GC18" s="16"/>
      <c r="GD18" s="161"/>
      <c r="GE18" s="134"/>
      <c r="GF18" s="37"/>
      <c r="GG18" s="15">
        <f t="shared" si="51"/>
        <v>0</v>
      </c>
      <c r="GH18" s="15"/>
      <c r="GI18" s="16">
        <f t="shared" si="59"/>
        <v>0</v>
      </c>
      <c r="GJ18" s="161"/>
      <c r="GK18" s="134">
        <f t="shared" si="52"/>
        <v>0</v>
      </c>
      <c r="GL18" s="37"/>
      <c r="GM18" s="16"/>
      <c r="GN18" s="299">
        <f>C18+O18+Z18+AG18+AN18+AS18+AX18+BH18+BO18+BT18+BY18+CD18+CG18+CL18+CO18+CX18+DC18+DN18+EA18+EF18+EK18+ET18+EW18+EZ18+FM18</f>
        <v>150000</v>
      </c>
      <c r="GO18" s="12">
        <f>D18+P18+AA18+AH18+AO18+AT18+AY18+BI18+BP18+BU18+BZ18+CE18+CH18+CM18+CP18+CY18+DD18+DO18+EB18+EG18+EL18+EU18+EX18+FA18+FF18+FN18</f>
        <v>0</v>
      </c>
      <c r="GP18" s="12"/>
      <c r="GQ18" s="12">
        <v>150</v>
      </c>
      <c r="GR18" s="113">
        <f>G18+R18+BK18+DF18+DS18+EN18+FC18+FI18</f>
        <v>0</v>
      </c>
      <c r="GS18" s="113">
        <f t="shared" si="53"/>
        <v>150</v>
      </c>
      <c r="GT18" s="113">
        <f t="shared" si="2"/>
        <v>0</v>
      </c>
      <c r="GU18" s="113">
        <f t="shared" si="54"/>
        <v>150</v>
      </c>
      <c r="GV18" s="113">
        <f t="shared" si="3"/>
        <v>0</v>
      </c>
      <c r="GW18" s="113">
        <f t="shared" si="55"/>
        <v>150</v>
      </c>
      <c r="GX18" s="380">
        <f t="shared" si="56"/>
        <v>0</v>
      </c>
      <c r="GY18" s="381">
        <f t="shared" si="57"/>
        <v>150</v>
      </c>
    </row>
    <row r="19" spans="1:207" s="7" customFormat="1" x14ac:dyDescent="0.2">
      <c r="A19" s="20" t="s">
        <v>13</v>
      </c>
      <c r="B19" s="68" t="s">
        <v>47</v>
      </c>
      <c r="C19" s="90">
        <f>C16+C17+C18</f>
        <v>0</v>
      </c>
      <c r="D19" s="34">
        <f t="shared" ref="D19:EC19" si="65">D16+D17+D18</f>
        <v>0</v>
      </c>
      <c r="E19" s="34"/>
      <c r="F19" s="34">
        <f t="shared" si="65"/>
        <v>0</v>
      </c>
      <c r="G19" s="34"/>
      <c r="H19" s="15">
        <f t="shared" si="4"/>
        <v>0</v>
      </c>
      <c r="I19" s="15"/>
      <c r="J19" s="15">
        <f t="shared" si="5"/>
        <v>0</v>
      </c>
      <c r="K19" s="15"/>
      <c r="L19" s="15">
        <f t="shared" si="6"/>
        <v>0</v>
      </c>
      <c r="M19" s="15"/>
      <c r="N19" s="134">
        <f t="shared" si="7"/>
        <v>0</v>
      </c>
      <c r="O19" s="90">
        <f t="shared" si="65"/>
        <v>51709955</v>
      </c>
      <c r="P19" s="34">
        <f t="shared" si="65"/>
        <v>11771</v>
      </c>
      <c r="Q19" s="34">
        <f t="shared" si="65"/>
        <v>63481</v>
      </c>
      <c r="R19" s="34">
        <v>-3881</v>
      </c>
      <c r="S19" s="15">
        <f t="shared" si="8"/>
        <v>59600</v>
      </c>
      <c r="T19" s="15"/>
      <c r="U19" s="15">
        <f t="shared" si="9"/>
        <v>59600</v>
      </c>
      <c r="V19" s="15">
        <v>6900</v>
      </c>
      <c r="W19" s="15">
        <f t="shared" si="10"/>
        <v>66500</v>
      </c>
      <c r="X19" s="15">
        <f>SUM(X16:X17)</f>
        <v>-18526</v>
      </c>
      <c r="Y19" s="134">
        <f t="shared" si="11"/>
        <v>47974</v>
      </c>
      <c r="Z19" s="90">
        <f t="shared" si="65"/>
        <v>17000000</v>
      </c>
      <c r="AA19" s="34">
        <f t="shared" si="65"/>
        <v>17000</v>
      </c>
      <c r="AB19" s="34">
        <f t="shared" si="65"/>
        <v>34000</v>
      </c>
      <c r="AC19" s="34"/>
      <c r="AD19" s="15">
        <f t="shared" si="12"/>
        <v>34000</v>
      </c>
      <c r="AE19" s="15">
        <v>-2126</v>
      </c>
      <c r="AF19" s="134">
        <f t="shared" si="13"/>
        <v>31874</v>
      </c>
      <c r="AG19" s="90">
        <f t="shared" si="65"/>
        <v>0</v>
      </c>
      <c r="AH19" s="34">
        <f t="shared" si="65"/>
        <v>0</v>
      </c>
      <c r="AI19" s="34">
        <f t="shared" si="65"/>
        <v>0</v>
      </c>
      <c r="AJ19" s="34"/>
      <c r="AK19" s="15">
        <f t="shared" si="14"/>
        <v>0</v>
      </c>
      <c r="AL19" s="15"/>
      <c r="AM19" s="16">
        <f t="shared" si="15"/>
        <v>0</v>
      </c>
      <c r="AN19" s="86">
        <f t="shared" si="65"/>
        <v>3000000</v>
      </c>
      <c r="AO19" s="34">
        <f t="shared" si="65"/>
        <v>0</v>
      </c>
      <c r="AP19" s="34">
        <f t="shared" si="65"/>
        <v>3000</v>
      </c>
      <c r="AQ19" s="34"/>
      <c r="AR19" s="134">
        <f t="shared" si="16"/>
        <v>3000</v>
      </c>
      <c r="AS19" s="90">
        <f t="shared" si="65"/>
        <v>0</v>
      </c>
      <c r="AT19" s="34">
        <f t="shared" si="65"/>
        <v>0</v>
      </c>
      <c r="AU19" s="34">
        <f t="shared" si="65"/>
        <v>0</v>
      </c>
      <c r="AV19" s="34"/>
      <c r="AW19" s="134">
        <f t="shared" si="17"/>
        <v>0</v>
      </c>
      <c r="AX19" s="90">
        <f t="shared" si="65"/>
        <v>0</v>
      </c>
      <c r="AY19" s="34">
        <f t="shared" si="65"/>
        <v>0</v>
      </c>
      <c r="AZ19" s="34"/>
      <c r="BA19" s="34">
        <f t="shared" si="65"/>
        <v>0</v>
      </c>
      <c r="BB19" s="34"/>
      <c r="BC19" s="15">
        <f t="shared" si="18"/>
        <v>0</v>
      </c>
      <c r="BD19" s="15"/>
      <c r="BE19" s="15">
        <f t="shared" si="19"/>
        <v>0</v>
      </c>
      <c r="BF19" s="15"/>
      <c r="BG19" s="16">
        <f t="shared" si="20"/>
        <v>0</v>
      </c>
      <c r="BH19" s="86">
        <f t="shared" si="65"/>
        <v>0</v>
      </c>
      <c r="BI19" s="34">
        <f t="shared" si="65"/>
        <v>0</v>
      </c>
      <c r="BJ19" s="34">
        <f t="shared" si="65"/>
        <v>0</v>
      </c>
      <c r="BK19" s="34"/>
      <c r="BL19" s="15">
        <f t="shared" si="21"/>
        <v>0</v>
      </c>
      <c r="BM19" s="15"/>
      <c r="BN19" s="16">
        <f t="shared" si="22"/>
        <v>0</v>
      </c>
      <c r="BO19" s="90">
        <f t="shared" ref="BO19:BQ19" si="66">BO16+BO17+BO18</f>
        <v>150000</v>
      </c>
      <c r="BP19" s="34">
        <f t="shared" si="66"/>
        <v>0</v>
      </c>
      <c r="BQ19" s="34">
        <f t="shared" si="66"/>
        <v>150</v>
      </c>
      <c r="BR19" s="34"/>
      <c r="BS19" s="134">
        <f t="shared" si="23"/>
        <v>150</v>
      </c>
      <c r="BT19" s="90">
        <f t="shared" ref="BT19:BV19" si="67">BT16+BT17+BT18</f>
        <v>0</v>
      </c>
      <c r="BU19" s="34">
        <f t="shared" si="67"/>
        <v>0</v>
      </c>
      <c r="BV19" s="34">
        <f t="shared" si="67"/>
        <v>0</v>
      </c>
      <c r="BW19" s="34"/>
      <c r="BX19" s="16">
        <f t="shared" si="24"/>
        <v>0</v>
      </c>
      <c r="BY19" s="86">
        <f t="shared" si="65"/>
        <v>0</v>
      </c>
      <c r="BZ19" s="34">
        <f t="shared" si="65"/>
        <v>0</v>
      </c>
      <c r="CA19" s="34">
        <f t="shared" si="65"/>
        <v>0</v>
      </c>
      <c r="CB19" s="34">
        <v>69</v>
      </c>
      <c r="CC19" s="16">
        <f t="shared" si="25"/>
        <v>69</v>
      </c>
      <c r="CD19" s="86">
        <f t="shared" ref="CD19:CF19" si="68">CD16+CD17+CD18</f>
        <v>0</v>
      </c>
      <c r="CE19" s="34">
        <f t="shared" si="68"/>
        <v>0</v>
      </c>
      <c r="CF19" s="83">
        <f t="shared" si="68"/>
        <v>0</v>
      </c>
      <c r="CG19" s="90">
        <f t="shared" si="65"/>
        <v>0</v>
      </c>
      <c r="CH19" s="34">
        <f t="shared" si="65"/>
        <v>0</v>
      </c>
      <c r="CI19" s="34">
        <f t="shared" si="65"/>
        <v>0</v>
      </c>
      <c r="CJ19" s="34"/>
      <c r="CK19" s="16">
        <f t="shared" si="26"/>
        <v>0</v>
      </c>
      <c r="CL19" s="86">
        <f t="shared" si="65"/>
        <v>42626000</v>
      </c>
      <c r="CM19" s="34">
        <f t="shared" si="65"/>
        <v>0</v>
      </c>
      <c r="CN19" s="83">
        <f t="shared" si="65"/>
        <v>42626</v>
      </c>
      <c r="CO19" s="90">
        <f t="shared" si="65"/>
        <v>0</v>
      </c>
      <c r="CP19" s="34">
        <f t="shared" si="65"/>
        <v>0</v>
      </c>
      <c r="CQ19" s="34">
        <f t="shared" si="65"/>
        <v>0</v>
      </c>
      <c r="CR19" s="34"/>
      <c r="CS19" s="15">
        <f t="shared" si="27"/>
        <v>0</v>
      </c>
      <c r="CT19" s="15"/>
      <c r="CU19" s="15">
        <f t="shared" si="28"/>
        <v>0</v>
      </c>
      <c r="CV19" s="15"/>
      <c r="CW19" s="16">
        <f t="shared" si="29"/>
        <v>0</v>
      </c>
      <c r="CX19" s="86">
        <f t="shared" si="65"/>
        <v>0</v>
      </c>
      <c r="CY19" s="34">
        <f t="shared" si="65"/>
        <v>0</v>
      </c>
      <c r="CZ19" s="34">
        <f t="shared" si="65"/>
        <v>0</v>
      </c>
      <c r="DA19" s="34"/>
      <c r="DB19" s="16">
        <f t="shared" si="30"/>
        <v>0</v>
      </c>
      <c r="DC19" s="86">
        <f t="shared" si="65"/>
        <v>0</v>
      </c>
      <c r="DD19" s="34">
        <f t="shared" si="65"/>
        <v>0</v>
      </c>
      <c r="DE19" s="34">
        <f t="shared" si="65"/>
        <v>0</v>
      </c>
      <c r="DF19" s="34"/>
      <c r="DG19" s="15">
        <f t="shared" si="31"/>
        <v>0</v>
      </c>
      <c r="DH19" s="15"/>
      <c r="DI19" s="15">
        <f t="shared" si="32"/>
        <v>0</v>
      </c>
      <c r="DJ19" s="15"/>
      <c r="DK19" s="15">
        <f t="shared" si="33"/>
        <v>0</v>
      </c>
      <c r="DL19" s="15"/>
      <c r="DM19" s="134">
        <f t="shared" si="34"/>
        <v>0</v>
      </c>
      <c r="DN19" s="90">
        <f t="shared" si="65"/>
        <v>0</v>
      </c>
      <c r="DO19" s="34">
        <f t="shared" si="65"/>
        <v>0</v>
      </c>
      <c r="DP19" s="34">
        <f t="shared" si="65"/>
        <v>0</v>
      </c>
      <c r="DQ19" s="34"/>
      <c r="DR19" s="34"/>
      <c r="DS19" s="34"/>
      <c r="DT19" s="15">
        <f t="shared" si="35"/>
        <v>0</v>
      </c>
      <c r="DU19" s="15"/>
      <c r="DV19" s="15"/>
      <c r="DW19" s="15"/>
      <c r="DX19" s="15">
        <f t="shared" si="36"/>
        <v>0</v>
      </c>
      <c r="DY19" s="15"/>
      <c r="DZ19" s="134">
        <f t="shared" si="37"/>
        <v>0</v>
      </c>
      <c r="EA19" s="90">
        <f t="shared" si="65"/>
        <v>0</v>
      </c>
      <c r="EB19" s="34">
        <f t="shared" si="65"/>
        <v>0</v>
      </c>
      <c r="EC19" s="34">
        <f t="shared" si="65"/>
        <v>0</v>
      </c>
      <c r="ED19" s="34"/>
      <c r="EE19" s="134">
        <f t="shared" si="38"/>
        <v>0</v>
      </c>
      <c r="EF19" s="90">
        <f>SUM(EF16:EF18)</f>
        <v>0</v>
      </c>
      <c r="EG19" s="34"/>
      <c r="EH19" s="34"/>
      <c r="EI19" s="34"/>
      <c r="EJ19" s="16">
        <f t="shared" si="39"/>
        <v>0</v>
      </c>
      <c r="EK19" s="86">
        <f>SUM(EK16:EK18)</f>
        <v>0</v>
      </c>
      <c r="EL19" s="34"/>
      <c r="EM19" s="34"/>
      <c r="EN19" s="34"/>
      <c r="EO19" s="15">
        <f t="shared" si="40"/>
        <v>0</v>
      </c>
      <c r="EP19" s="15"/>
      <c r="EQ19" s="15">
        <f t="shared" si="41"/>
        <v>0</v>
      </c>
      <c r="ER19" s="15"/>
      <c r="ES19" s="16">
        <f t="shared" si="42"/>
        <v>0</v>
      </c>
      <c r="ET19" s="86">
        <f>SUM(ET16:ET18)</f>
        <v>33020000</v>
      </c>
      <c r="EU19" s="34">
        <v>-18020</v>
      </c>
      <c r="EV19" s="34">
        <v>15000</v>
      </c>
      <c r="EW19" s="26"/>
      <c r="EX19" s="34"/>
      <c r="EY19" s="34"/>
      <c r="EZ19" s="26">
        <f>SUM(EZ16:EZ18)</f>
        <v>285338760</v>
      </c>
      <c r="FA19" s="34"/>
      <c r="FB19" s="34">
        <v>285339</v>
      </c>
      <c r="FC19" s="34">
        <v>16330</v>
      </c>
      <c r="FD19" s="134">
        <f t="shared" si="43"/>
        <v>301669</v>
      </c>
      <c r="FE19" s="89"/>
      <c r="FF19" s="34"/>
      <c r="FG19" s="34">
        <v>1409</v>
      </c>
      <c r="FH19" s="16">
        <f t="shared" si="58"/>
        <v>1409</v>
      </c>
      <c r="FI19" s="94">
        <v>41040</v>
      </c>
      <c r="FJ19" s="15">
        <f t="shared" si="0"/>
        <v>41040</v>
      </c>
      <c r="FK19" s="15">
        <f>FK16+FK17</f>
        <v>19975</v>
      </c>
      <c r="FL19" s="134">
        <f t="shared" si="44"/>
        <v>61015</v>
      </c>
      <c r="FM19" s="26">
        <f>SUM(FM16:FM18)</f>
        <v>126780897</v>
      </c>
      <c r="FN19" s="34">
        <v>-3881</v>
      </c>
      <c r="FO19" s="34">
        <v>122900</v>
      </c>
      <c r="FP19" s="34">
        <f>SUM(FP16:FP17)</f>
        <v>-81390</v>
      </c>
      <c r="FQ19" s="15">
        <f t="shared" si="45"/>
        <v>41510</v>
      </c>
      <c r="FR19" s="15">
        <f>SUM(FR16:FR18)</f>
        <v>-15997</v>
      </c>
      <c r="FS19" s="15">
        <f t="shared" si="46"/>
        <v>25513</v>
      </c>
      <c r="FT19" s="94">
        <f>SUM(FT16)</f>
        <v>80324</v>
      </c>
      <c r="FU19" s="15">
        <f t="shared" si="47"/>
        <v>80324</v>
      </c>
      <c r="FV19" s="15">
        <f>SUM(FV16:FV18)</f>
        <v>39758</v>
      </c>
      <c r="FW19" s="134">
        <f t="shared" si="64"/>
        <v>120082</v>
      </c>
      <c r="FX19" s="37">
        <v>10000</v>
      </c>
      <c r="FY19" s="15">
        <f t="shared" si="49"/>
        <v>10000</v>
      </c>
      <c r="FZ19" s="15">
        <v>-6</v>
      </c>
      <c r="GA19" s="16">
        <f t="shared" si="50"/>
        <v>9994</v>
      </c>
      <c r="GB19" s="37">
        <v>13000</v>
      </c>
      <c r="GC19" s="16">
        <v>13000</v>
      </c>
      <c r="GD19" s="161">
        <v>30000</v>
      </c>
      <c r="GE19" s="134">
        <v>30000</v>
      </c>
      <c r="GF19" s="37">
        <f>SUM(GF16:GF18)</f>
        <v>56020</v>
      </c>
      <c r="GG19" s="15">
        <f t="shared" si="51"/>
        <v>56020</v>
      </c>
      <c r="GH19" s="15">
        <v>-240</v>
      </c>
      <c r="GI19" s="16">
        <f t="shared" si="59"/>
        <v>55780</v>
      </c>
      <c r="GJ19" s="161">
        <v>10000</v>
      </c>
      <c r="GK19" s="134">
        <f t="shared" si="52"/>
        <v>10000</v>
      </c>
      <c r="GL19" s="37"/>
      <c r="GM19" s="16"/>
      <c r="GN19" s="257">
        <v>559626</v>
      </c>
      <c r="GO19" s="12">
        <v>11771</v>
      </c>
      <c r="GP19" s="12"/>
      <c r="GQ19" s="35">
        <v>571397</v>
      </c>
      <c r="GR19" s="113">
        <f>G19+R19+BK19+DF19+DS19+EN19+FC19+FI19</f>
        <v>53489</v>
      </c>
      <c r="GS19" s="113">
        <f t="shared" si="53"/>
        <v>624886</v>
      </c>
      <c r="GT19" s="113">
        <f>SUM(GT16:GT18)</f>
        <v>63934</v>
      </c>
      <c r="GU19" s="113">
        <f t="shared" si="54"/>
        <v>688820</v>
      </c>
      <c r="GV19" s="113">
        <f t="shared" si="3"/>
        <v>6900</v>
      </c>
      <c r="GW19" s="113">
        <f t="shared" si="55"/>
        <v>695720</v>
      </c>
      <c r="GX19" s="380">
        <f>SUM(GX16:GX18)</f>
        <v>77316</v>
      </c>
      <c r="GY19" s="381">
        <f t="shared" si="57"/>
        <v>773036</v>
      </c>
    </row>
    <row r="20" spans="1:207" s="7" customFormat="1" x14ac:dyDescent="0.2">
      <c r="A20" s="20" t="s">
        <v>14</v>
      </c>
      <c r="B20" s="68" t="s">
        <v>73</v>
      </c>
      <c r="C20" s="90">
        <v>0</v>
      </c>
      <c r="D20" s="34"/>
      <c r="E20" s="34">
        <v>1572</v>
      </c>
      <c r="F20" s="34">
        <v>1572</v>
      </c>
      <c r="G20" s="34">
        <v>-1572</v>
      </c>
      <c r="H20" s="15">
        <f t="shared" si="4"/>
        <v>0</v>
      </c>
      <c r="I20" s="15"/>
      <c r="J20" s="15">
        <f t="shared" si="5"/>
        <v>0</v>
      </c>
      <c r="K20" s="15"/>
      <c r="L20" s="15">
        <f t="shared" si="6"/>
        <v>0</v>
      </c>
      <c r="M20" s="15"/>
      <c r="N20" s="134">
        <f t="shared" si="7"/>
        <v>0</v>
      </c>
      <c r="O20" s="90">
        <v>0</v>
      </c>
      <c r="P20" s="34"/>
      <c r="Q20" s="34"/>
      <c r="R20" s="34"/>
      <c r="S20" s="15">
        <f t="shared" si="8"/>
        <v>0</v>
      </c>
      <c r="T20" s="15"/>
      <c r="U20" s="15">
        <f t="shared" si="9"/>
        <v>0</v>
      </c>
      <c r="V20" s="15"/>
      <c r="W20" s="15">
        <f t="shared" si="10"/>
        <v>0</v>
      </c>
      <c r="X20" s="15"/>
      <c r="Y20" s="134">
        <f t="shared" si="11"/>
        <v>0</v>
      </c>
      <c r="Z20" s="90">
        <v>0</v>
      </c>
      <c r="AA20" s="34"/>
      <c r="AB20" s="34"/>
      <c r="AC20" s="34"/>
      <c r="AD20" s="15">
        <f t="shared" si="12"/>
        <v>0</v>
      </c>
      <c r="AE20" s="15"/>
      <c r="AF20" s="134">
        <f t="shared" si="13"/>
        <v>0</v>
      </c>
      <c r="AG20" s="90">
        <v>0</v>
      </c>
      <c r="AH20" s="34"/>
      <c r="AI20" s="34"/>
      <c r="AJ20" s="34"/>
      <c r="AK20" s="15">
        <f t="shared" si="14"/>
        <v>0</v>
      </c>
      <c r="AL20" s="15"/>
      <c r="AM20" s="16">
        <f t="shared" si="15"/>
        <v>0</v>
      </c>
      <c r="AN20" s="86">
        <v>0</v>
      </c>
      <c r="AO20" s="34"/>
      <c r="AP20" s="34"/>
      <c r="AQ20" s="34"/>
      <c r="AR20" s="134">
        <f t="shared" si="16"/>
        <v>0</v>
      </c>
      <c r="AS20" s="90">
        <v>0</v>
      </c>
      <c r="AT20" s="34"/>
      <c r="AU20" s="34"/>
      <c r="AV20" s="34"/>
      <c r="AW20" s="134">
        <f t="shared" si="17"/>
        <v>0</v>
      </c>
      <c r="AX20" s="90">
        <v>0</v>
      </c>
      <c r="AY20" s="34"/>
      <c r="AZ20" s="34"/>
      <c r="BA20" s="34"/>
      <c r="BB20" s="34"/>
      <c r="BC20" s="15">
        <f t="shared" si="18"/>
        <v>0</v>
      </c>
      <c r="BD20" s="15"/>
      <c r="BE20" s="15">
        <f t="shared" si="19"/>
        <v>0</v>
      </c>
      <c r="BF20" s="15"/>
      <c r="BG20" s="16">
        <f t="shared" si="20"/>
        <v>0</v>
      </c>
      <c r="BH20" s="86">
        <v>0</v>
      </c>
      <c r="BI20" s="34"/>
      <c r="BJ20" s="34"/>
      <c r="BK20" s="34"/>
      <c r="BL20" s="15">
        <f t="shared" si="21"/>
        <v>0</v>
      </c>
      <c r="BM20" s="15"/>
      <c r="BN20" s="16">
        <f t="shared" si="22"/>
        <v>0</v>
      </c>
      <c r="BO20" s="90">
        <v>0</v>
      </c>
      <c r="BP20" s="34"/>
      <c r="BQ20" s="34"/>
      <c r="BR20" s="34"/>
      <c r="BS20" s="134">
        <f t="shared" si="23"/>
        <v>0</v>
      </c>
      <c r="BT20" s="90">
        <v>0</v>
      </c>
      <c r="BU20" s="34"/>
      <c r="BV20" s="34"/>
      <c r="BW20" s="34"/>
      <c r="BX20" s="16">
        <f t="shared" si="24"/>
        <v>0</v>
      </c>
      <c r="BY20" s="86">
        <v>0</v>
      </c>
      <c r="BZ20" s="34"/>
      <c r="CA20" s="34"/>
      <c r="CB20" s="34"/>
      <c r="CC20" s="16">
        <f t="shared" si="25"/>
        <v>0</v>
      </c>
      <c r="CD20" s="86">
        <v>0</v>
      </c>
      <c r="CE20" s="34"/>
      <c r="CF20" s="83"/>
      <c r="CG20" s="90">
        <v>0</v>
      </c>
      <c r="CH20" s="34"/>
      <c r="CI20" s="34"/>
      <c r="CJ20" s="34"/>
      <c r="CK20" s="16">
        <f t="shared" si="26"/>
        <v>0</v>
      </c>
      <c r="CL20" s="86">
        <v>0</v>
      </c>
      <c r="CM20" s="34"/>
      <c r="CN20" s="83"/>
      <c r="CO20" s="90">
        <v>0</v>
      </c>
      <c r="CP20" s="34"/>
      <c r="CQ20" s="34"/>
      <c r="CR20" s="34"/>
      <c r="CS20" s="15">
        <f t="shared" si="27"/>
        <v>0</v>
      </c>
      <c r="CT20" s="15"/>
      <c r="CU20" s="15">
        <f t="shared" si="28"/>
        <v>0</v>
      </c>
      <c r="CV20" s="15"/>
      <c r="CW20" s="16">
        <f t="shared" si="29"/>
        <v>0</v>
      </c>
      <c r="CX20" s="86">
        <v>0</v>
      </c>
      <c r="CY20" s="34"/>
      <c r="CZ20" s="34"/>
      <c r="DA20" s="34"/>
      <c r="DB20" s="16">
        <f t="shared" si="30"/>
        <v>0</v>
      </c>
      <c r="DC20" s="94">
        <v>34124</v>
      </c>
      <c r="DD20" s="34">
        <v>879</v>
      </c>
      <c r="DE20" s="34">
        <v>35003</v>
      </c>
      <c r="DF20" s="34">
        <v>412</v>
      </c>
      <c r="DG20" s="15">
        <f t="shared" si="31"/>
        <v>35415</v>
      </c>
      <c r="DH20" s="15">
        <v>198</v>
      </c>
      <c r="DI20" s="15">
        <f t="shared" si="32"/>
        <v>35613</v>
      </c>
      <c r="DJ20" s="15">
        <v>400</v>
      </c>
      <c r="DK20" s="15">
        <f t="shared" si="33"/>
        <v>36013</v>
      </c>
      <c r="DL20" s="15">
        <v>32456</v>
      </c>
      <c r="DM20" s="134">
        <f t="shared" si="34"/>
        <v>68469</v>
      </c>
      <c r="DN20" s="89">
        <v>829015</v>
      </c>
      <c r="DO20" s="34">
        <v>3383</v>
      </c>
      <c r="DP20" s="34">
        <v>832398</v>
      </c>
      <c r="DQ20" s="34">
        <v>1572</v>
      </c>
      <c r="DR20" s="34">
        <v>833970</v>
      </c>
      <c r="DS20" s="34">
        <v>273</v>
      </c>
      <c r="DT20" s="15">
        <f>SUM(DR20:DS20)</f>
        <v>834243</v>
      </c>
      <c r="DU20" s="15">
        <v>4020</v>
      </c>
      <c r="DV20" s="15">
        <f>SUM(DT20:DU20)</f>
        <v>838263</v>
      </c>
      <c r="DW20" s="15">
        <v>336</v>
      </c>
      <c r="DX20" s="15">
        <f t="shared" si="36"/>
        <v>838599</v>
      </c>
      <c r="DY20" s="15">
        <v>1758</v>
      </c>
      <c r="DZ20" s="134">
        <f t="shared" si="37"/>
        <v>840357</v>
      </c>
      <c r="EA20" s="90">
        <v>0</v>
      </c>
      <c r="EB20" s="34"/>
      <c r="EC20" s="34"/>
      <c r="ED20" s="34"/>
      <c r="EE20" s="134">
        <f t="shared" si="38"/>
        <v>0</v>
      </c>
      <c r="EF20" s="90">
        <v>0</v>
      </c>
      <c r="EG20" s="34"/>
      <c r="EH20" s="34"/>
      <c r="EI20" s="34"/>
      <c r="EJ20" s="16">
        <f t="shared" si="39"/>
        <v>0</v>
      </c>
      <c r="EK20" s="86">
        <v>0</v>
      </c>
      <c r="EL20" s="34"/>
      <c r="EM20" s="34"/>
      <c r="EN20" s="34"/>
      <c r="EO20" s="15">
        <f t="shared" si="40"/>
        <v>0</v>
      </c>
      <c r="EP20" s="15"/>
      <c r="EQ20" s="15">
        <f t="shared" si="41"/>
        <v>0</v>
      </c>
      <c r="ER20" s="15"/>
      <c r="ES20" s="16">
        <f t="shared" si="42"/>
        <v>0</v>
      </c>
      <c r="ET20" s="86">
        <v>0</v>
      </c>
      <c r="EU20" s="34"/>
      <c r="EV20" s="34"/>
      <c r="EW20" s="26">
        <v>100000000</v>
      </c>
      <c r="EX20" s="34"/>
      <c r="EY20" s="34">
        <v>100000</v>
      </c>
      <c r="EZ20" s="26">
        <v>0</v>
      </c>
      <c r="FA20" s="34"/>
      <c r="FB20" s="34"/>
      <c r="FC20" s="34"/>
      <c r="FD20" s="134">
        <f t="shared" si="43"/>
        <v>0</v>
      </c>
      <c r="FE20" s="89"/>
      <c r="FF20" s="34"/>
      <c r="FG20" s="34"/>
      <c r="FH20" s="16">
        <f t="shared" si="58"/>
        <v>0</v>
      </c>
      <c r="FI20" s="94"/>
      <c r="FJ20" s="15">
        <f t="shared" si="0"/>
        <v>0</v>
      </c>
      <c r="FK20" s="15"/>
      <c r="FL20" s="134">
        <f t="shared" si="44"/>
        <v>0</v>
      </c>
      <c r="FM20" s="26"/>
      <c r="FN20" s="34"/>
      <c r="FO20" s="34"/>
      <c r="FP20" s="34"/>
      <c r="FQ20" s="15">
        <f t="shared" si="45"/>
        <v>0</v>
      </c>
      <c r="FR20" s="15"/>
      <c r="FS20" s="15">
        <f t="shared" si="46"/>
        <v>0</v>
      </c>
      <c r="FT20" s="94"/>
      <c r="FU20" s="15">
        <f t="shared" si="47"/>
        <v>0</v>
      </c>
      <c r="FV20" s="15"/>
      <c r="FW20" s="134">
        <f t="shared" si="64"/>
        <v>0</v>
      </c>
      <c r="FX20" s="37"/>
      <c r="FY20" s="15">
        <f t="shared" si="49"/>
        <v>0</v>
      </c>
      <c r="FZ20" s="15"/>
      <c r="GA20" s="16">
        <f t="shared" si="50"/>
        <v>0</v>
      </c>
      <c r="GB20" s="37"/>
      <c r="GC20" s="16"/>
      <c r="GD20" s="161"/>
      <c r="GE20" s="134"/>
      <c r="GF20" s="37"/>
      <c r="GG20" s="15">
        <f t="shared" si="51"/>
        <v>0</v>
      </c>
      <c r="GH20" s="15"/>
      <c r="GI20" s="16">
        <f t="shared" si="59"/>
        <v>0</v>
      </c>
      <c r="GJ20" s="161"/>
      <c r="GK20" s="134">
        <f t="shared" si="52"/>
        <v>0</v>
      </c>
      <c r="GL20" s="37"/>
      <c r="GM20" s="16"/>
      <c r="GN20" s="128">
        <v>963139000</v>
      </c>
      <c r="GO20" s="12">
        <f>D20+P20+AA20+AH20+AO20+AT20+AY20+BI20+BP20+BU20+BZ20+CE20+CH20+CM20+CP20+CY20+DD20+DO20+EB20+EG20+EL20+EU20+EX20+FA20+FF20+FN20</f>
        <v>4262</v>
      </c>
      <c r="GP20" s="12">
        <v>1572</v>
      </c>
      <c r="GQ20" s="35">
        <v>968973</v>
      </c>
      <c r="GR20" s="113">
        <v>685</v>
      </c>
      <c r="GS20" s="113">
        <f t="shared" si="53"/>
        <v>969658</v>
      </c>
      <c r="GT20" s="113">
        <v>4218</v>
      </c>
      <c r="GU20" s="113">
        <f t="shared" si="54"/>
        <v>973876</v>
      </c>
      <c r="GV20" s="113">
        <v>736</v>
      </c>
      <c r="GW20" s="113">
        <f t="shared" si="55"/>
        <v>974612</v>
      </c>
      <c r="GX20" s="380">
        <f t="shared" si="56"/>
        <v>34214</v>
      </c>
      <c r="GY20" s="381">
        <f t="shared" si="57"/>
        <v>1008826</v>
      </c>
    </row>
    <row r="21" spans="1:207" s="24" customFormat="1" ht="13.5" x14ac:dyDescent="0.2">
      <c r="A21" s="28" t="s">
        <v>15</v>
      </c>
      <c r="B21" s="79" t="s">
        <v>77</v>
      </c>
      <c r="C21" s="46">
        <v>0</v>
      </c>
      <c r="D21" s="99"/>
      <c r="E21" s="99">
        <v>1572</v>
      </c>
      <c r="F21" s="99">
        <v>1572</v>
      </c>
      <c r="G21" s="99">
        <v>-1572</v>
      </c>
      <c r="H21" s="15">
        <f t="shared" si="4"/>
        <v>0</v>
      </c>
      <c r="I21" s="15"/>
      <c r="J21" s="15">
        <f t="shared" si="5"/>
        <v>0</v>
      </c>
      <c r="K21" s="15"/>
      <c r="L21" s="15">
        <f t="shared" si="6"/>
        <v>0</v>
      </c>
      <c r="M21" s="15"/>
      <c r="N21" s="134">
        <f t="shared" si="7"/>
        <v>0</v>
      </c>
      <c r="O21" s="46">
        <v>0</v>
      </c>
      <c r="P21" s="99"/>
      <c r="Q21" s="99"/>
      <c r="R21" s="99"/>
      <c r="S21" s="15">
        <f t="shared" si="8"/>
        <v>0</v>
      </c>
      <c r="T21" s="15"/>
      <c r="U21" s="15">
        <f t="shared" si="9"/>
        <v>0</v>
      </c>
      <c r="V21" s="15"/>
      <c r="W21" s="15">
        <f t="shared" si="10"/>
        <v>0</v>
      </c>
      <c r="X21" s="15"/>
      <c r="Y21" s="134">
        <f t="shared" si="11"/>
        <v>0</v>
      </c>
      <c r="Z21" s="46">
        <v>0</v>
      </c>
      <c r="AA21" s="99"/>
      <c r="AB21" s="99"/>
      <c r="AC21" s="99"/>
      <c r="AD21" s="15">
        <f t="shared" si="12"/>
        <v>0</v>
      </c>
      <c r="AE21" s="15"/>
      <c r="AF21" s="134">
        <f t="shared" si="13"/>
        <v>0</v>
      </c>
      <c r="AG21" s="46">
        <v>0</v>
      </c>
      <c r="AH21" s="99"/>
      <c r="AI21" s="99"/>
      <c r="AJ21" s="99"/>
      <c r="AK21" s="15">
        <f t="shared" si="14"/>
        <v>0</v>
      </c>
      <c r="AL21" s="15"/>
      <c r="AM21" s="16">
        <f t="shared" si="15"/>
        <v>0</v>
      </c>
      <c r="AN21" s="85">
        <v>0</v>
      </c>
      <c r="AO21" s="99"/>
      <c r="AP21" s="99"/>
      <c r="AQ21" s="99"/>
      <c r="AR21" s="134">
        <f t="shared" si="16"/>
        <v>0</v>
      </c>
      <c r="AS21" s="46">
        <v>0</v>
      </c>
      <c r="AT21" s="99"/>
      <c r="AU21" s="99"/>
      <c r="AV21" s="99"/>
      <c r="AW21" s="134">
        <f t="shared" si="17"/>
        <v>0</v>
      </c>
      <c r="AX21" s="46">
        <v>0</v>
      </c>
      <c r="AY21" s="99"/>
      <c r="AZ21" s="99"/>
      <c r="BA21" s="99"/>
      <c r="BB21" s="99"/>
      <c r="BC21" s="15">
        <f t="shared" si="18"/>
        <v>0</v>
      </c>
      <c r="BD21" s="15"/>
      <c r="BE21" s="15">
        <f t="shared" si="19"/>
        <v>0</v>
      </c>
      <c r="BF21" s="15"/>
      <c r="BG21" s="16">
        <f t="shared" si="20"/>
        <v>0</v>
      </c>
      <c r="BH21" s="85">
        <v>0</v>
      </c>
      <c r="BI21" s="99"/>
      <c r="BJ21" s="99"/>
      <c r="BK21" s="99"/>
      <c r="BL21" s="15">
        <f t="shared" si="21"/>
        <v>0</v>
      </c>
      <c r="BM21" s="15"/>
      <c r="BN21" s="16">
        <f t="shared" si="22"/>
        <v>0</v>
      </c>
      <c r="BO21" s="46">
        <v>0</v>
      </c>
      <c r="BP21" s="99"/>
      <c r="BQ21" s="99"/>
      <c r="BR21" s="99"/>
      <c r="BS21" s="134">
        <f t="shared" si="23"/>
        <v>0</v>
      </c>
      <c r="BT21" s="46">
        <v>0</v>
      </c>
      <c r="BU21" s="99"/>
      <c r="BV21" s="99"/>
      <c r="BW21" s="99"/>
      <c r="BX21" s="16">
        <f t="shared" si="24"/>
        <v>0</v>
      </c>
      <c r="BY21" s="85">
        <v>0</v>
      </c>
      <c r="BZ21" s="99"/>
      <c r="CA21" s="99"/>
      <c r="CB21" s="99"/>
      <c r="CC21" s="16">
        <f t="shared" si="25"/>
        <v>0</v>
      </c>
      <c r="CD21" s="85">
        <v>0</v>
      </c>
      <c r="CE21" s="99"/>
      <c r="CF21" s="135"/>
      <c r="CG21" s="46">
        <v>0</v>
      </c>
      <c r="CH21" s="99"/>
      <c r="CI21" s="99"/>
      <c r="CJ21" s="99"/>
      <c r="CK21" s="16">
        <f t="shared" si="26"/>
        <v>0</v>
      </c>
      <c r="CL21" s="85">
        <v>0</v>
      </c>
      <c r="CM21" s="99"/>
      <c r="CN21" s="135"/>
      <c r="CO21" s="46">
        <v>0</v>
      </c>
      <c r="CP21" s="99"/>
      <c r="CQ21" s="99"/>
      <c r="CR21" s="99"/>
      <c r="CS21" s="15">
        <f t="shared" si="27"/>
        <v>0</v>
      </c>
      <c r="CT21" s="15"/>
      <c r="CU21" s="15">
        <f t="shared" si="28"/>
        <v>0</v>
      </c>
      <c r="CV21" s="15"/>
      <c r="CW21" s="16">
        <f t="shared" si="29"/>
        <v>0</v>
      </c>
      <c r="CX21" s="85">
        <v>0</v>
      </c>
      <c r="CY21" s="99"/>
      <c r="CZ21" s="99"/>
      <c r="DA21" s="99"/>
      <c r="DB21" s="16">
        <f t="shared" si="30"/>
        <v>0</v>
      </c>
      <c r="DC21" s="369"/>
      <c r="DD21" s="99"/>
      <c r="DE21" s="99"/>
      <c r="DF21" s="99"/>
      <c r="DG21" s="15"/>
      <c r="DH21" s="15"/>
      <c r="DI21" s="15"/>
      <c r="DJ21" s="15"/>
      <c r="DK21" s="15">
        <f t="shared" si="33"/>
        <v>0</v>
      </c>
      <c r="DL21" s="15"/>
      <c r="DM21" s="134">
        <f t="shared" si="34"/>
        <v>0</v>
      </c>
      <c r="DN21" s="145">
        <v>829015</v>
      </c>
      <c r="DO21" s="99">
        <v>3383</v>
      </c>
      <c r="DP21" s="99">
        <v>832398</v>
      </c>
      <c r="DQ21" s="99">
        <v>1572</v>
      </c>
      <c r="DR21" s="99">
        <v>833970</v>
      </c>
      <c r="DS21" s="99">
        <v>273</v>
      </c>
      <c r="DT21" s="15">
        <f t="shared" ref="DT21:DT23" si="69">SUM(DR21:DS21)</f>
        <v>834243</v>
      </c>
      <c r="DU21" s="15">
        <v>4020</v>
      </c>
      <c r="DV21" s="15">
        <f t="shared" ref="DV21:DV23" si="70">SUM(DT21:DU21)</f>
        <v>838263</v>
      </c>
      <c r="DW21" s="15">
        <v>336</v>
      </c>
      <c r="DX21" s="15">
        <f t="shared" si="36"/>
        <v>838599</v>
      </c>
      <c r="DY21" s="15">
        <v>1758</v>
      </c>
      <c r="DZ21" s="134">
        <f t="shared" si="37"/>
        <v>840357</v>
      </c>
      <c r="EA21" s="46">
        <v>0</v>
      </c>
      <c r="EB21" s="99"/>
      <c r="EC21" s="99"/>
      <c r="ED21" s="99"/>
      <c r="EE21" s="134">
        <f t="shared" si="38"/>
        <v>0</v>
      </c>
      <c r="EF21" s="150"/>
      <c r="EG21" s="99"/>
      <c r="EH21" s="99"/>
      <c r="EI21" s="99"/>
      <c r="EJ21" s="16">
        <f t="shared" si="39"/>
        <v>0</v>
      </c>
      <c r="EK21" s="141"/>
      <c r="EL21" s="99"/>
      <c r="EM21" s="99"/>
      <c r="EN21" s="99"/>
      <c r="EO21" s="15">
        <f t="shared" si="40"/>
        <v>0</v>
      </c>
      <c r="EP21" s="15"/>
      <c r="EQ21" s="15">
        <f t="shared" si="41"/>
        <v>0</v>
      </c>
      <c r="ER21" s="15"/>
      <c r="ES21" s="16">
        <f t="shared" si="42"/>
        <v>0</v>
      </c>
      <c r="ET21" s="141"/>
      <c r="EU21" s="99"/>
      <c r="EV21" s="99"/>
      <c r="EW21" s="45"/>
      <c r="EX21" s="99"/>
      <c r="EY21" s="99"/>
      <c r="EZ21" s="45"/>
      <c r="FA21" s="99"/>
      <c r="FB21" s="99"/>
      <c r="FC21" s="99"/>
      <c r="FD21" s="134">
        <f t="shared" si="43"/>
        <v>0</v>
      </c>
      <c r="FE21" s="145"/>
      <c r="FF21" s="99"/>
      <c r="FG21" s="99"/>
      <c r="FH21" s="16">
        <f t="shared" si="58"/>
        <v>0</v>
      </c>
      <c r="FI21" s="382"/>
      <c r="FJ21" s="15">
        <f t="shared" si="0"/>
        <v>0</v>
      </c>
      <c r="FK21" s="15"/>
      <c r="FL21" s="134">
        <f t="shared" si="44"/>
        <v>0</v>
      </c>
      <c r="FM21" s="45"/>
      <c r="FN21" s="99"/>
      <c r="FO21" s="99"/>
      <c r="FP21" s="99"/>
      <c r="FQ21" s="15">
        <f t="shared" si="45"/>
        <v>0</v>
      </c>
      <c r="FR21" s="15"/>
      <c r="FS21" s="15">
        <f t="shared" si="46"/>
        <v>0</v>
      </c>
      <c r="FT21" s="382"/>
      <c r="FU21" s="15">
        <f t="shared" si="47"/>
        <v>0</v>
      </c>
      <c r="FV21" s="15"/>
      <c r="FW21" s="134">
        <f t="shared" si="64"/>
        <v>0</v>
      </c>
      <c r="FX21" s="37"/>
      <c r="FY21" s="15">
        <f t="shared" si="49"/>
        <v>0</v>
      </c>
      <c r="FZ21" s="15"/>
      <c r="GA21" s="16">
        <f t="shared" si="50"/>
        <v>0</v>
      </c>
      <c r="GB21" s="37"/>
      <c r="GC21" s="16"/>
      <c r="GD21" s="161"/>
      <c r="GE21" s="134"/>
      <c r="GF21" s="37"/>
      <c r="GG21" s="15">
        <f t="shared" si="51"/>
        <v>0</v>
      </c>
      <c r="GH21" s="15"/>
      <c r="GI21" s="16">
        <f t="shared" si="59"/>
        <v>0</v>
      </c>
      <c r="GJ21" s="161"/>
      <c r="GK21" s="134">
        <f t="shared" si="52"/>
        <v>0</v>
      </c>
      <c r="GL21" s="37"/>
      <c r="GM21" s="16"/>
      <c r="GN21" s="299">
        <v>829015000</v>
      </c>
      <c r="GO21" s="12">
        <v>3383</v>
      </c>
      <c r="GP21" s="12">
        <v>1572</v>
      </c>
      <c r="GQ21" s="155">
        <v>833970</v>
      </c>
      <c r="GR21" s="113">
        <v>273</v>
      </c>
      <c r="GS21" s="113">
        <f t="shared" si="53"/>
        <v>834243</v>
      </c>
      <c r="GT21" s="113">
        <v>4020</v>
      </c>
      <c r="GU21" s="113">
        <f t="shared" si="54"/>
        <v>838263</v>
      </c>
      <c r="GV21" s="113">
        <v>336</v>
      </c>
      <c r="GW21" s="113">
        <f t="shared" si="55"/>
        <v>838599</v>
      </c>
      <c r="GX21" s="380">
        <f t="shared" si="56"/>
        <v>1758</v>
      </c>
      <c r="GY21" s="381">
        <f t="shared" si="57"/>
        <v>840357</v>
      </c>
    </row>
    <row r="22" spans="1:207" s="24" customFormat="1" ht="13.5" x14ac:dyDescent="0.2">
      <c r="A22" s="28"/>
      <c r="B22" s="67"/>
      <c r="C22" s="46"/>
      <c r="D22" s="99"/>
      <c r="E22" s="99"/>
      <c r="F22" s="99"/>
      <c r="G22" s="99"/>
      <c r="H22" s="15">
        <f t="shared" si="4"/>
        <v>0</v>
      </c>
      <c r="I22" s="15"/>
      <c r="J22" s="15">
        <f t="shared" si="5"/>
        <v>0</v>
      </c>
      <c r="K22" s="15"/>
      <c r="L22" s="15">
        <f t="shared" si="6"/>
        <v>0</v>
      </c>
      <c r="M22" s="15"/>
      <c r="N22" s="134">
        <f t="shared" si="7"/>
        <v>0</v>
      </c>
      <c r="O22" s="46"/>
      <c r="P22" s="99"/>
      <c r="Q22" s="99"/>
      <c r="R22" s="99"/>
      <c r="S22" s="15">
        <f t="shared" si="8"/>
        <v>0</v>
      </c>
      <c r="T22" s="15"/>
      <c r="U22" s="15">
        <f t="shared" si="9"/>
        <v>0</v>
      </c>
      <c r="V22" s="15"/>
      <c r="W22" s="15">
        <f t="shared" si="10"/>
        <v>0</v>
      </c>
      <c r="X22" s="15"/>
      <c r="Y22" s="134">
        <f t="shared" si="11"/>
        <v>0</v>
      </c>
      <c r="Z22" s="46"/>
      <c r="AA22" s="99"/>
      <c r="AB22" s="99"/>
      <c r="AC22" s="99"/>
      <c r="AD22" s="15">
        <f t="shared" si="12"/>
        <v>0</v>
      </c>
      <c r="AE22" s="15"/>
      <c r="AF22" s="134">
        <f t="shared" si="13"/>
        <v>0</v>
      </c>
      <c r="AG22" s="46"/>
      <c r="AH22" s="99"/>
      <c r="AI22" s="99"/>
      <c r="AJ22" s="99"/>
      <c r="AK22" s="15">
        <f t="shared" si="14"/>
        <v>0</v>
      </c>
      <c r="AL22" s="15"/>
      <c r="AM22" s="16">
        <f t="shared" si="15"/>
        <v>0</v>
      </c>
      <c r="AN22" s="85"/>
      <c r="AO22" s="99"/>
      <c r="AP22" s="99"/>
      <c r="AQ22" s="99"/>
      <c r="AR22" s="134">
        <f t="shared" si="16"/>
        <v>0</v>
      </c>
      <c r="AS22" s="46"/>
      <c r="AT22" s="99"/>
      <c r="AU22" s="99"/>
      <c r="AV22" s="99"/>
      <c r="AW22" s="134">
        <f t="shared" si="17"/>
        <v>0</v>
      </c>
      <c r="AX22" s="46"/>
      <c r="AY22" s="99"/>
      <c r="AZ22" s="99"/>
      <c r="BA22" s="99"/>
      <c r="BB22" s="99"/>
      <c r="BC22" s="15">
        <f t="shared" si="18"/>
        <v>0</v>
      </c>
      <c r="BD22" s="15"/>
      <c r="BE22" s="15">
        <f t="shared" si="19"/>
        <v>0</v>
      </c>
      <c r="BF22" s="15"/>
      <c r="BG22" s="16">
        <f t="shared" si="20"/>
        <v>0</v>
      </c>
      <c r="BH22" s="85"/>
      <c r="BI22" s="99"/>
      <c r="BJ22" s="99"/>
      <c r="BK22" s="99"/>
      <c r="BL22" s="15">
        <f t="shared" si="21"/>
        <v>0</v>
      </c>
      <c r="BM22" s="15"/>
      <c r="BN22" s="16">
        <f t="shared" si="22"/>
        <v>0</v>
      </c>
      <c r="BO22" s="46"/>
      <c r="BP22" s="99"/>
      <c r="BQ22" s="99"/>
      <c r="BR22" s="99"/>
      <c r="BS22" s="134">
        <f t="shared" si="23"/>
        <v>0</v>
      </c>
      <c r="BT22" s="46"/>
      <c r="BU22" s="99"/>
      <c r="BV22" s="99"/>
      <c r="BW22" s="99"/>
      <c r="BX22" s="16">
        <f t="shared" si="24"/>
        <v>0</v>
      </c>
      <c r="BY22" s="85"/>
      <c r="BZ22" s="99"/>
      <c r="CA22" s="99"/>
      <c r="CB22" s="99"/>
      <c r="CC22" s="16">
        <f t="shared" si="25"/>
        <v>0</v>
      </c>
      <c r="CD22" s="85"/>
      <c r="CE22" s="99"/>
      <c r="CF22" s="135"/>
      <c r="CG22" s="46"/>
      <c r="CH22" s="99"/>
      <c r="CI22" s="99"/>
      <c r="CJ22" s="99"/>
      <c r="CK22" s="16">
        <f t="shared" si="26"/>
        <v>0</v>
      </c>
      <c r="CL22" s="85"/>
      <c r="CM22" s="99"/>
      <c r="CN22" s="135"/>
      <c r="CO22" s="46"/>
      <c r="CP22" s="99"/>
      <c r="CQ22" s="99"/>
      <c r="CR22" s="99"/>
      <c r="CS22" s="15">
        <f t="shared" si="27"/>
        <v>0</v>
      </c>
      <c r="CT22" s="15"/>
      <c r="CU22" s="15">
        <f t="shared" si="28"/>
        <v>0</v>
      </c>
      <c r="CV22" s="15"/>
      <c r="CW22" s="16">
        <f t="shared" si="29"/>
        <v>0</v>
      </c>
      <c r="CX22" s="85"/>
      <c r="CY22" s="99"/>
      <c r="CZ22" s="99"/>
      <c r="DA22" s="99"/>
      <c r="DB22" s="16">
        <f t="shared" si="30"/>
        <v>0</v>
      </c>
      <c r="DC22" s="85"/>
      <c r="DD22" s="99"/>
      <c r="DE22" s="99"/>
      <c r="DF22" s="99"/>
      <c r="DG22" s="15">
        <f t="shared" si="31"/>
        <v>0</v>
      </c>
      <c r="DH22" s="15"/>
      <c r="DI22" s="15">
        <f t="shared" si="32"/>
        <v>0</v>
      </c>
      <c r="DJ22" s="15"/>
      <c r="DK22" s="15">
        <f t="shared" si="33"/>
        <v>0</v>
      </c>
      <c r="DL22" s="15"/>
      <c r="DM22" s="134">
        <f t="shared" si="34"/>
        <v>0</v>
      </c>
      <c r="DN22" s="150"/>
      <c r="DO22" s="99"/>
      <c r="DP22" s="99"/>
      <c r="DQ22" s="99"/>
      <c r="DR22" s="99"/>
      <c r="DS22" s="99"/>
      <c r="DT22" s="15">
        <f t="shared" si="69"/>
        <v>0</v>
      </c>
      <c r="DU22" s="15">
        <v>0</v>
      </c>
      <c r="DV22" s="15">
        <f t="shared" si="70"/>
        <v>0</v>
      </c>
      <c r="DW22" s="15"/>
      <c r="DX22" s="15">
        <f t="shared" si="36"/>
        <v>0</v>
      </c>
      <c r="DY22" s="15"/>
      <c r="DZ22" s="134">
        <f t="shared" si="37"/>
        <v>0</v>
      </c>
      <c r="EA22" s="46"/>
      <c r="EB22" s="99"/>
      <c r="EC22" s="99"/>
      <c r="ED22" s="99"/>
      <c r="EE22" s="134">
        <f t="shared" si="38"/>
        <v>0</v>
      </c>
      <c r="EF22" s="150"/>
      <c r="EG22" s="99"/>
      <c r="EH22" s="99"/>
      <c r="EI22" s="99"/>
      <c r="EJ22" s="16">
        <f t="shared" si="39"/>
        <v>0</v>
      </c>
      <c r="EK22" s="141"/>
      <c r="EL22" s="99"/>
      <c r="EM22" s="99"/>
      <c r="EN22" s="99"/>
      <c r="EO22" s="15">
        <f t="shared" si="40"/>
        <v>0</v>
      </c>
      <c r="EP22" s="15"/>
      <c r="EQ22" s="15">
        <f t="shared" si="41"/>
        <v>0</v>
      </c>
      <c r="ER22" s="15"/>
      <c r="ES22" s="16">
        <f t="shared" si="42"/>
        <v>0</v>
      </c>
      <c r="ET22" s="141"/>
      <c r="EU22" s="99"/>
      <c r="EV22" s="99"/>
      <c r="EW22" s="45"/>
      <c r="EX22" s="99"/>
      <c r="EY22" s="99"/>
      <c r="EZ22" s="45"/>
      <c r="FA22" s="99"/>
      <c r="FB22" s="99"/>
      <c r="FC22" s="99"/>
      <c r="FD22" s="134">
        <f t="shared" si="43"/>
        <v>0</v>
      </c>
      <c r="FE22" s="145"/>
      <c r="FF22" s="99"/>
      <c r="FG22" s="99"/>
      <c r="FH22" s="16">
        <f t="shared" si="58"/>
        <v>0</v>
      </c>
      <c r="FI22" s="382"/>
      <c r="FJ22" s="15">
        <f t="shared" si="0"/>
        <v>0</v>
      </c>
      <c r="FK22" s="15"/>
      <c r="FL22" s="134">
        <f t="shared" si="44"/>
        <v>0</v>
      </c>
      <c r="FM22" s="45"/>
      <c r="FN22" s="99"/>
      <c r="FO22" s="99"/>
      <c r="FP22" s="99"/>
      <c r="FQ22" s="15">
        <f t="shared" si="45"/>
        <v>0</v>
      </c>
      <c r="FR22" s="15"/>
      <c r="FS22" s="15">
        <f t="shared" si="46"/>
        <v>0</v>
      </c>
      <c r="FT22" s="382"/>
      <c r="FU22" s="15">
        <f t="shared" si="47"/>
        <v>0</v>
      </c>
      <c r="FV22" s="15"/>
      <c r="FW22" s="134">
        <f t="shared" si="64"/>
        <v>0</v>
      </c>
      <c r="FX22" s="37"/>
      <c r="FY22" s="15">
        <f t="shared" si="49"/>
        <v>0</v>
      </c>
      <c r="FZ22" s="15"/>
      <c r="GA22" s="16">
        <f t="shared" si="50"/>
        <v>0</v>
      </c>
      <c r="GB22" s="37"/>
      <c r="GC22" s="16"/>
      <c r="GD22" s="161"/>
      <c r="GE22" s="134"/>
      <c r="GF22" s="37"/>
      <c r="GG22" s="15">
        <f t="shared" si="51"/>
        <v>0</v>
      </c>
      <c r="GH22" s="15">
        <v>0</v>
      </c>
      <c r="GI22" s="16">
        <f t="shared" si="59"/>
        <v>0</v>
      </c>
      <c r="GJ22" s="161"/>
      <c r="GK22" s="134">
        <f t="shared" si="52"/>
        <v>0</v>
      </c>
      <c r="GL22" s="37"/>
      <c r="GM22" s="16"/>
      <c r="GN22" s="397"/>
      <c r="GO22" s="113">
        <f>D22+P22+AA22+AH22+AO22+AT22+AY22+BI22+BP22+BU22+BZ22+CE22+CH22+CM22+CP22+CY22+DD22+DO22+EB22+EG22+EL22+EU22+EX22+FA22+FF22+FN22</f>
        <v>0</v>
      </c>
      <c r="GP22" s="113"/>
      <c r="GQ22" s="156"/>
      <c r="GR22" s="113">
        <f>G22+R22+BK22+DF22+DS22+EN22+FC22+FI22</f>
        <v>0</v>
      </c>
      <c r="GS22" s="113">
        <f t="shared" si="53"/>
        <v>0</v>
      </c>
      <c r="GT22" s="113">
        <f>I22+T22+AA22+AT22+BB22+BP22+BZ22+CH22+CT22+CY22+DH22+EB22+EU22+FP22+FT22+FX22+GF22</f>
        <v>0</v>
      </c>
      <c r="GU22" s="113">
        <f t="shared" si="54"/>
        <v>0</v>
      </c>
      <c r="GV22" s="113">
        <f>K22+AC22+AJ22+BD22+DJ22+EP22+V22</f>
        <v>0</v>
      </c>
      <c r="GW22" s="113">
        <f t="shared" si="55"/>
        <v>0</v>
      </c>
      <c r="GX22" s="380">
        <f t="shared" si="56"/>
        <v>0</v>
      </c>
      <c r="GY22" s="381">
        <f t="shared" si="57"/>
        <v>0</v>
      </c>
    </row>
    <row r="23" spans="1:207" s="7" customFormat="1" x14ac:dyDescent="0.2">
      <c r="A23" s="20" t="s">
        <v>16</v>
      </c>
      <c r="B23" s="68" t="s">
        <v>48</v>
      </c>
      <c r="C23" s="90">
        <f t="shared" ref="C23:BZ23" si="71">C15+C19+C20</f>
        <v>259028908</v>
      </c>
      <c r="D23" s="34">
        <f t="shared" si="71"/>
        <v>36002</v>
      </c>
      <c r="E23" s="34">
        <v>-377</v>
      </c>
      <c r="F23" s="34">
        <f t="shared" si="71"/>
        <v>294654</v>
      </c>
      <c r="G23" s="34">
        <f>G15+G20</f>
        <v>2263</v>
      </c>
      <c r="H23" s="15">
        <f t="shared" si="4"/>
        <v>296917</v>
      </c>
      <c r="I23" s="15">
        <f>I15+I19+I20</f>
        <v>-8366</v>
      </c>
      <c r="J23" s="15">
        <f t="shared" si="5"/>
        <v>288551</v>
      </c>
      <c r="K23" s="15">
        <f>K15</f>
        <v>1486</v>
      </c>
      <c r="L23" s="15">
        <f t="shared" si="6"/>
        <v>290037</v>
      </c>
      <c r="M23" s="15">
        <v>37975</v>
      </c>
      <c r="N23" s="134">
        <f t="shared" si="7"/>
        <v>328012</v>
      </c>
      <c r="O23" s="90">
        <f t="shared" si="71"/>
        <v>64089155</v>
      </c>
      <c r="P23" s="34">
        <f t="shared" si="71"/>
        <v>25872</v>
      </c>
      <c r="Q23" s="34">
        <f t="shared" si="71"/>
        <v>89961</v>
      </c>
      <c r="R23" s="34">
        <f>R15+R19</f>
        <v>-4481</v>
      </c>
      <c r="S23" s="15">
        <f t="shared" si="8"/>
        <v>85480</v>
      </c>
      <c r="T23" s="15">
        <f>SUM(T15)</f>
        <v>-265</v>
      </c>
      <c r="U23" s="15">
        <f t="shared" si="9"/>
        <v>85215</v>
      </c>
      <c r="V23" s="15">
        <f>V19+V15</f>
        <v>10062</v>
      </c>
      <c r="W23" s="15">
        <f t="shared" si="10"/>
        <v>95277</v>
      </c>
      <c r="X23" s="15">
        <f>X15+X19</f>
        <v>-21057</v>
      </c>
      <c r="Y23" s="134">
        <f t="shared" si="11"/>
        <v>74220</v>
      </c>
      <c r="Z23" s="90">
        <f t="shared" si="71"/>
        <v>26525000</v>
      </c>
      <c r="AA23" s="34">
        <f t="shared" si="71"/>
        <v>17000</v>
      </c>
      <c r="AB23" s="34">
        <f t="shared" si="71"/>
        <v>43525</v>
      </c>
      <c r="AC23" s="34">
        <v>500</v>
      </c>
      <c r="AD23" s="15">
        <f t="shared" si="12"/>
        <v>44025</v>
      </c>
      <c r="AE23" s="15">
        <f>AE15+AE19</f>
        <v>-2126</v>
      </c>
      <c r="AF23" s="134">
        <f t="shared" si="13"/>
        <v>41899</v>
      </c>
      <c r="AG23" s="90">
        <f t="shared" si="71"/>
        <v>0</v>
      </c>
      <c r="AH23" s="34">
        <f t="shared" si="71"/>
        <v>0</v>
      </c>
      <c r="AI23" s="34">
        <f t="shared" si="71"/>
        <v>0</v>
      </c>
      <c r="AJ23" s="34"/>
      <c r="AK23" s="15">
        <f t="shared" si="14"/>
        <v>0</v>
      </c>
      <c r="AL23" s="15"/>
      <c r="AM23" s="16">
        <f t="shared" si="15"/>
        <v>0</v>
      </c>
      <c r="AN23" s="86">
        <f t="shared" si="71"/>
        <v>23502829</v>
      </c>
      <c r="AO23" s="34">
        <f t="shared" si="71"/>
        <v>0</v>
      </c>
      <c r="AP23" s="34">
        <f t="shared" si="71"/>
        <v>23503</v>
      </c>
      <c r="AQ23" s="34">
        <f>SUM(AQ15)</f>
        <v>1481</v>
      </c>
      <c r="AR23" s="134">
        <f t="shared" si="16"/>
        <v>24984</v>
      </c>
      <c r="AS23" s="90">
        <f t="shared" si="71"/>
        <v>58936391</v>
      </c>
      <c r="AT23" s="34">
        <f t="shared" si="71"/>
        <v>800</v>
      </c>
      <c r="AU23" s="34">
        <f t="shared" si="71"/>
        <v>59736</v>
      </c>
      <c r="AV23" s="34">
        <v>-3658</v>
      </c>
      <c r="AW23" s="134">
        <f t="shared" si="17"/>
        <v>56078</v>
      </c>
      <c r="AX23" s="90">
        <f t="shared" si="71"/>
        <v>9678350</v>
      </c>
      <c r="AY23" s="34">
        <f t="shared" si="71"/>
        <v>143</v>
      </c>
      <c r="AZ23" s="34">
        <v>0</v>
      </c>
      <c r="BA23" s="34">
        <f t="shared" si="71"/>
        <v>10199</v>
      </c>
      <c r="BB23" s="34">
        <v>1469</v>
      </c>
      <c r="BC23" s="15">
        <f t="shared" si="18"/>
        <v>11668</v>
      </c>
      <c r="BD23" s="15">
        <f>BD15</f>
        <v>3243</v>
      </c>
      <c r="BE23" s="15">
        <f t="shared" si="19"/>
        <v>14911</v>
      </c>
      <c r="BF23" s="15">
        <v>1615</v>
      </c>
      <c r="BG23" s="16">
        <f t="shared" si="20"/>
        <v>16526</v>
      </c>
      <c r="BH23" s="86">
        <f t="shared" si="71"/>
        <v>30001724</v>
      </c>
      <c r="BI23" s="34">
        <f t="shared" si="71"/>
        <v>2511</v>
      </c>
      <c r="BJ23" s="34">
        <f t="shared" si="71"/>
        <v>32513</v>
      </c>
      <c r="BK23" s="34">
        <v>-2511</v>
      </c>
      <c r="BL23" s="15">
        <f t="shared" si="21"/>
        <v>30002</v>
      </c>
      <c r="BM23" s="15">
        <v>2679</v>
      </c>
      <c r="BN23" s="16">
        <f t="shared" si="22"/>
        <v>32681</v>
      </c>
      <c r="BO23" s="90">
        <f t="shared" si="71"/>
        <v>150000</v>
      </c>
      <c r="BP23" s="34">
        <f t="shared" si="71"/>
        <v>0</v>
      </c>
      <c r="BQ23" s="34">
        <f t="shared" si="71"/>
        <v>150</v>
      </c>
      <c r="BR23" s="34"/>
      <c r="BS23" s="134">
        <f t="shared" si="23"/>
        <v>150</v>
      </c>
      <c r="BT23" s="90">
        <f t="shared" si="71"/>
        <v>762000</v>
      </c>
      <c r="BU23" s="34">
        <f t="shared" si="71"/>
        <v>0</v>
      </c>
      <c r="BV23" s="34">
        <f t="shared" si="71"/>
        <v>762</v>
      </c>
      <c r="BW23" s="34">
        <v>80</v>
      </c>
      <c r="BX23" s="16">
        <f t="shared" si="24"/>
        <v>842</v>
      </c>
      <c r="BY23" s="86">
        <f t="shared" si="71"/>
        <v>186188000</v>
      </c>
      <c r="BZ23" s="34">
        <f t="shared" si="71"/>
        <v>8122</v>
      </c>
      <c r="CA23" s="34">
        <f t="shared" ref="CA23:DE23" si="72">CA15+CA19+CA20</f>
        <v>194310</v>
      </c>
      <c r="CB23" s="34">
        <f>CB15+CB19</f>
        <v>2186</v>
      </c>
      <c r="CC23" s="16">
        <f t="shared" si="25"/>
        <v>196496</v>
      </c>
      <c r="CD23" s="86">
        <f t="shared" si="72"/>
        <v>19050000</v>
      </c>
      <c r="CE23" s="34">
        <f t="shared" si="72"/>
        <v>-13218</v>
      </c>
      <c r="CF23" s="83">
        <f t="shared" si="72"/>
        <v>5832</v>
      </c>
      <c r="CG23" s="90">
        <f t="shared" si="72"/>
        <v>7493000</v>
      </c>
      <c r="CH23" s="34">
        <f t="shared" si="72"/>
        <v>284</v>
      </c>
      <c r="CI23" s="34">
        <f t="shared" si="72"/>
        <v>7777</v>
      </c>
      <c r="CJ23" s="34">
        <v>3089</v>
      </c>
      <c r="CK23" s="16">
        <f t="shared" si="26"/>
        <v>10866</v>
      </c>
      <c r="CL23" s="86">
        <f t="shared" si="72"/>
        <v>42626000</v>
      </c>
      <c r="CM23" s="34">
        <f t="shared" si="72"/>
        <v>0</v>
      </c>
      <c r="CN23" s="83">
        <f t="shared" si="72"/>
        <v>42626</v>
      </c>
      <c r="CO23" s="90">
        <f t="shared" si="72"/>
        <v>26687750</v>
      </c>
      <c r="CP23" s="34">
        <f t="shared" si="72"/>
        <v>-2511</v>
      </c>
      <c r="CQ23" s="34">
        <f t="shared" si="72"/>
        <v>24177</v>
      </c>
      <c r="CR23" s="34">
        <v>2511</v>
      </c>
      <c r="CS23" s="15">
        <f t="shared" si="27"/>
        <v>26688</v>
      </c>
      <c r="CT23" s="15">
        <v>14</v>
      </c>
      <c r="CU23" s="15">
        <f t="shared" si="28"/>
        <v>26702</v>
      </c>
      <c r="CV23" s="15">
        <v>6573</v>
      </c>
      <c r="CW23" s="16">
        <f t="shared" si="29"/>
        <v>33275</v>
      </c>
      <c r="CX23" s="86">
        <f t="shared" si="72"/>
        <v>3810000</v>
      </c>
      <c r="CY23" s="34">
        <f t="shared" si="72"/>
        <v>-60</v>
      </c>
      <c r="CZ23" s="34">
        <f t="shared" si="72"/>
        <v>3750</v>
      </c>
      <c r="DA23" s="34">
        <v>-1356</v>
      </c>
      <c r="DB23" s="16">
        <f t="shared" si="30"/>
        <v>2394</v>
      </c>
      <c r="DC23" s="94">
        <f t="shared" si="72"/>
        <v>34124</v>
      </c>
      <c r="DD23" s="34">
        <f t="shared" si="72"/>
        <v>879</v>
      </c>
      <c r="DE23" s="34">
        <f t="shared" si="72"/>
        <v>35003</v>
      </c>
      <c r="DF23" s="34">
        <v>412</v>
      </c>
      <c r="DG23" s="15">
        <f t="shared" si="31"/>
        <v>35415</v>
      </c>
      <c r="DH23" s="15">
        <v>198</v>
      </c>
      <c r="DI23" s="15">
        <f t="shared" si="32"/>
        <v>35613</v>
      </c>
      <c r="DJ23" s="15">
        <v>400</v>
      </c>
      <c r="DK23" s="15">
        <f t="shared" si="33"/>
        <v>36013</v>
      </c>
      <c r="DL23" s="15">
        <v>32456</v>
      </c>
      <c r="DM23" s="134">
        <f t="shared" si="34"/>
        <v>68469</v>
      </c>
      <c r="DN23" s="89">
        <f>DN20</f>
        <v>829015</v>
      </c>
      <c r="DO23" s="34">
        <f t="shared" ref="DO23:EF23" si="73">DO15+DO19+DO20</f>
        <v>3383</v>
      </c>
      <c r="DP23" s="34">
        <f t="shared" si="73"/>
        <v>832398</v>
      </c>
      <c r="DQ23" s="34">
        <v>1572</v>
      </c>
      <c r="DR23" s="34">
        <v>833970</v>
      </c>
      <c r="DS23" s="34">
        <v>273</v>
      </c>
      <c r="DT23" s="15">
        <f t="shared" si="69"/>
        <v>834243</v>
      </c>
      <c r="DU23" s="15">
        <v>4020</v>
      </c>
      <c r="DV23" s="15">
        <f t="shared" si="70"/>
        <v>838263</v>
      </c>
      <c r="DW23" s="15">
        <v>336</v>
      </c>
      <c r="DX23" s="15">
        <f t="shared" si="36"/>
        <v>838599</v>
      </c>
      <c r="DY23" s="15">
        <v>1758</v>
      </c>
      <c r="DZ23" s="134">
        <f t="shared" si="37"/>
        <v>840357</v>
      </c>
      <c r="EA23" s="90">
        <f t="shared" si="73"/>
        <v>0</v>
      </c>
      <c r="EB23" s="34">
        <f t="shared" si="73"/>
        <v>0</v>
      </c>
      <c r="EC23" s="34">
        <f t="shared" si="73"/>
        <v>0</v>
      </c>
      <c r="ED23" s="34"/>
      <c r="EE23" s="134">
        <f t="shared" si="38"/>
        <v>0</v>
      </c>
      <c r="EF23" s="90">
        <f t="shared" si="73"/>
        <v>1905000</v>
      </c>
      <c r="EG23" s="34">
        <f>EG17</f>
        <v>0</v>
      </c>
      <c r="EH23" s="34">
        <v>1905</v>
      </c>
      <c r="EI23" s="34">
        <v>1500</v>
      </c>
      <c r="EJ23" s="16">
        <f t="shared" si="39"/>
        <v>3405</v>
      </c>
      <c r="EK23" s="86">
        <f>EK15+EK19+EK20</f>
        <v>8800000</v>
      </c>
      <c r="EL23" s="34">
        <v>63</v>
      </c>
      <c r="EM23" s="34">
        <v>8863</v>
      </c>
      <c r="EN23" s="34">
        <v>25</v>
      </c>
      <c r="EO23" s="15">
        <f t="shared" si="40"/>
        <v>8888</v>
      </c>
      <c r="EP23" s="15">
        <v>54</v>
      </c>
      <c r="EQ23" s="15">
        <f t="shared" si="41"/>
        <v>8942</v>
      </c>
      <c r="ER23" s="15">
        <v>42</v>
      </c>
      <c r="ES23" s="16">
        <f t="shared" si="42"/>
        <v>8984</v>
      </c>
      <c r="ET23" s="86">
        <f>ET15+ET19+ET20</f>
        <v>40020000</v>
      </c>
      <c r="EU23" s="34">
        <v>-18020</v>
      </c>
      <c r="EV23" s="34">
        <v>22000</v>
      </c>
      <c r="EW23" s="26">
        <f>EW20</f>
        <v>100000000</v>
      </c>
      <c r="EX23" s="34"/>
      <c r="EY23" s="34">
        <v>100000</v>
      </c>
      <c r="EZ23" s="26">
        <f>EZ15+EZ19+EZ20</f>
        <v>299183560</v>
      </c>
      <c r="FA23" s="34">
        <f>FA17</f>
        <v>0</v>
      </c>
      <c r="FB23" s="34">
        <v>299184</v>
      </c>
      <c r="FC23" s="34">
        <v>16330</v>
      </c>
      <c r="FD23" s="134">
        <f t="shared" si="43"/>
        <v>315514</v>
      </c>
      <c r="FE23" s="89">
        <v>2482</v>
      </c>
      <c r="FF23" s="34">
        <v>2482</v>
      </c>
      <c r="FG23" s="34">
        <f>FG15+FG19</f>
        <v>1891</v>
      </c>
      <c r="FH23" s="16">
        <f t="shared" si="58"/>
        <v>4373</v>
      </c>
      <c r="FI23" s="94">
        <f>FI15+FI19</f>
        <v>44441</v>
      </c>
      <c r="FJ23" s="15">
        <f t="shared" si="0"/>
        <v>44441</v>
      </c>
      <c r="FK23" s="15">
        <f>FK19+FK15</f>
        <v>20004</v>
      </c>
      <c r="FL23" s="134">
        <f t="shared" si="44"/>
        <v>64445</v>
      </c>
      <c r="FM23" s="26">
        <f>FM19</f>
        <v>126780897</v>
      </c>
      <c r="FN23" s="34">
        <v>-3881</v>
      </c>
      <c r="FO23" s="34">
        <v>122900</v>
      </c>
      <c r="FP23" s="34">
        <f>SUM(FP19)</f>
        <v>-81390</v>
      </c>
      <c r="FQ23" s="15">
        <f t="shared" si="45"/>
        <v>41510</v>
      </c>
      <c r="FR23" s="15">
        <f>SUM(FR19)</f>
        <v>-15997</v>
      </c>
      <c r="FS23" s="15">
        <f t="shared" si="46"/>
        <v>25513</v>
      </c>
      <c r="FT23" s="94">
        <f>FT15+FT19</f>
        <v>83163</v>
      </c>
      <c r="FU23" s="15">
        <f t="shared" si="47"/>
        <v>83163</v>
      </c>
      <c r="FV23" s="15">
        <f>FV15+FV19</f>
        <v>41059</v>
      </c>
      <c r="FW23" s="134">
        <f t="shared" si="64"/>
        <v>124222</v>
      </c>
      <c r="FX23" s="37">
        <v>10000</v>
      </c>
      <c r="FY23" s="15">
        <f t="shared" si="49"/>
        <v>10000</v>
      </c>
      <c r="FZ23" s="15">
        <v>0</v>
      </c>
      <c r="GA23" s="16">
        <f t="shared" si="50"/>
        <v>10000</v>
      </c>
      <c r="GB23" s="37">
        <v>13000</v>
      </c>
      <c r="GC23" s="16">
        <v>13000</v>
      </c>
      <c r="GD23" s="161">
        <v>30000</v>
      </c>
      <c r="GE23" s="134">
        <v>30000</v>
      </c>
      <c r="GF23" s="37">
        <f>SUM(GF19)</f>
        <v>56020</v>
      </c>
      <c r="GG23" s="15">
        <f t="shared" si="51"/>
        <v>56020</v>
      </c>
      <c r="GH23" s="15">
        <v>0</v>
      </c>
      <c r="GI23" s="16">
        <f t="shared" si="59"/>
        <v>56020</v>
      </c>
      <c r="GJ23" s="161">
        <v>10000</v>
      </c>
      <c r="GK23" s="134">
        <f t="shared" si="52"/>
        <v>10000</v>
      </c>
      <c r="GL23" s="37">
        <v>13218</v>
      </c>
      <c r="GM23" s="16">
        <v>13218</v>
      </c>
      <c r="GN23" s="398">
        <v>2198357000</v>
      </c>
      <c r="GO23" s="113">
        <v>77970</v>
      </c>
      <c r="GP23" s="113"/>
      <c r="GQ23" s="154">
        <f>2267181+GP23</f>
        <v>2267181</v>
      </c>
      <c r="GR23" s="113">
        <f>GR15+GR19+GR20</f>
        <v>60835</v>
      </c>
      <c r="GS23" s="113">
        <f>SUM(GQ23:GR23)+1</f>
        <v>2328017</v>
      </c>
      <c r="GT23" s="113">
        <f>GT15+GT19+GT20</f>
        <v>72989</v>
      </c>
      <c r="GU23" s="113">
        <f t="shared" si="54"/>
        <v>2401006</v>
      </c>
      <c r="GV23" s="113">
        <f>GV15+GV19+GV20</f>
        <v>16081</v>
      </c>
      <c r="GW23" s="113">
        <f t="shared" si="55"/>
        <v>2417087</v>
      </c>
      <c r="GX23" s="380">
        <f>GX15+GX19+GX20</f>
        <v>162712</v>
      </c>
      <c r="GY23" s="381">
        <f t="shared" si="57"/>
        <v>2579799</v>
      </c>
    </row>
    <row r="24" spans="1:207" ht="14.25" x14ac:dyDescent="0.2">
      <c r="A24" s="497" t="s">
        <v>55</v>
      </c>
      <c r="B24" s="498"/>
      <c r="C24" s="90"/>
      <c r="D24" s="34"/>
      <c r="E24" s="34"/>
      <c r="F24" s="34"/>
      <c r="G24" s="34"/>
      <c r="H24" s="15">
        <f t="shared" si="4"/>
        <v>0</v>
      </c>
      <c r="I24" s="15"/>
      <c r="J24" s="15">
        <f t="shared" si="5"/>
        <v>0</v>
      </c>
      <c r="K24" s="15"/>
      <c r="L24" s="15">
        <f t="shared" si="6"/>
        <v>0</v>
      </c>
      <c r="M24" s="15"/>
      <c r="N24" s="134">
        <f t="shared" si="7"/>
        <v>0</v>
      </c>
      <c r="O24" s="90"/>
      <c r="P24" s="34"/>
      <c r="Q24" s="34"/>
      <c r="R24" s="34"/>
      <c r="S24" s="15">
        <f t="shared" si="8"/>
        <v>0</v>
      </c>
      <c r="T24" s="15"/>
      <c r="U24" s="15">
        <f t="shared" si="9"/>
        <v>0</v>
      </c>
      <c r="V24" s="15"/>
      <c r="W24" s="15">
        <f t="shared" si="10"/>
        <v>0</v>
      </c>
      <c r="X24" s="15"/>
      <c r="Y24" s="134">
        <f t="shared" si="11"/>
        <v>0</v>
      </c>
      <c r="Z24" s="90"/>
      <c r="AA24" s="34"/>
      <c r="AB24" s="34"/>
      <c r="AC24" s="34"/>
      <c r="AD24" s="15">
        <f t="shared" si="12"/>
        <v>0</v>
      </c>
      <c r="AE24" s="15"/>
      <c r="AF24" s="134">
        <f t="shared" si="13"/>
        <v>0</v>
      </c>
      <c r="AG24" s="90"/>
      <c r="AH24" s="34"/>
      <c r="AI24" s="34"/>
      <c r="AJ24" s="34"/>
      <c r="AK24" s="15">
        <f t="shared" si="14"/>
        <v>0</v>
      </c>
      <c r="AL24" s="15"/>
      <c r="AM24" s="16">
        <f t="shared" si="15"/>
        <v>0</v>
      </c>
      <c r="AN24" s="86"/>
      <c r="AO24" s="34"/>
      <c r="AP24" s="34"/>
      <c r="AQ24" s="34"/>
      <c r="AR24" s="134">
        <f t="shared" si="16"/>
        <v>0</v>
      </c>
      <c r="AS24" s="90"/>
      <c r="AT24" s="34"/>
      <c r="AU24" s="34"/>
      <c r="AV24" s="34"/>
      <c r="AW24" s="134">
        <f t="shared" si="17"/>
        <v>0</v>
      </c>
      <c r="AX24" s="90"/>
      <c r="AY24" s="34"/>
      <c r="AZ24" s="34"/>
      <c r="BA24" s="34"/>
      <c r="BB24" s="34"/>
      <c r="BC24" s="15">
        <f t="shared" si="18"/>
        <v>0</v>
      </c>
      <c r="BD24" s="15"/>
      <c r="BE24" s="15">
        <f t="shared" si="19"/>
        <v>0</v>
      </c>
      <c r="BF24" s="15"/>
      <c r="BG24" s="16">
        <f t="shared" si="20"/>
        <v>0</v>
      </c>
      <c r="BH24" s="86"/>
      <c r="BI24" s="34"/>
      <c r="BJ24" s="34"/>
      <c r="BK24" s="34"/>
      <c r="BL24" s="15">
        <f t="shared" si="21"/>
        <v>0</v>
      </c>
      <c r="BM24" s="15"/>
      <c r="BN24" s="16">
        <f t="shared" si="22"/>
        <v>0</v>
      </c>
      <c r="BO24" s="90"/>
      <c r="BP24" s="34"/>
      <c r="BQ24" s="34"/>
      <c r="BR24" s="34"/>
      <c r="BS24" s="134">
        <f t="shared" si="23"/>
        <v>0</v>
      </c>
      <c r="BT24" s="90"/>
      <c r="BU24" s="34"/>
      <c r="BV24" s="34"/>
      <c r="BW24" s="34"/>
      <c r="BX24" s="16">
        <f t="shared" si="24"/>
        <v>0</v>
      </c>
      <c r="BY24" s="86"/>
      <c r="BZ24" s="34"/>
      <c r="CA24" s="34"/>
      <c r="CB24" s="34"/>
      <c r="CC24" s="16">
        <f t="shared" si="25"/>
        <v>0</v>
      </c>
      <c r="CD24" s="86"/>
      <c r="CE24" s="34"/>
      <c r="CF24" s="83"/>
      <c r="CG24" s="90"/>
      <c r="CH24" s="34"/>
      <c r="CI24" s="34"/>
      <c r="CJ24" s="34"/>
      <c r="CK24" s="16">
        <f t="shared" si="26"/>
        <v>0</v>
      </c>
      <c r="CL24" s="86"/>
      <c r="CM24" s="34"/>
      <c r="CN24" s="83"/>
      <c r="CO24" s="90"/>
      <c r="CP24" s="34"/>
      <c r="CQ24" s="34"/>
      <c r="CR24" s="34"/>
      <c r="CS24" s="15">
        <f t="shared" si="27"/>
        <v>0</v>
      </c>
      <c r="CT24" s="15"/>
      <c r="CU24" s="15">
        <f t="shared" si="28"/>
        <v>0</v>
      </c>
      <c r="CV24" s="15"/>
      <c r="CW24" s="16">
        <f t="shared" si="29"/>
        <v>0</v>
      </c>
      <c r="CX24" s="86"/>
      <c r="CY24" s="34"/>
      <c r="CZ24" s="34"/>
      <c r="DA24" s="34"/>
      <c r="DB24" s="16">
        <f t="shared" si="30"/>
        <v>0</v>
      </c>
      <c r="DC24" s="86"/>
      <c r="DD24" s="34"/>
      <c r="DE24" s="34"/>
      <c r="DF24" s="34"/>
      <c r="DG24" s="15">
        <f t="shared" si="31"/>
        <v>0</v>
      </c>
      <c r="DH24" s="15"/>
      <c r="DI24" s="15">
        <f t="shared" si="32"/>
        <v>0</v>
      </c>
      <c r="DJ24" s="15"/>
      <c r="DK24" s="15">
        <f t="shared" si="33"/>
        <v>0</v>
      </c>
      <c r="DL24" s="15"/>
      <c r="DM24" s="134">
        <f t="shared" si="34"/>
        <v>0</v>
      </c>
      <c r="DN24" s="90"/>
      <c r="DO24" s="34"/>
      <c r="DP24" s="34"/>
      <c r="DQ24" s="34"/>
      <c r="DR24" s="34"/>
      <c r="DS24" s="34"/>
      <c r="DT24" s="15">
        <f t="shared" si="35"/>
        <v>0</v>
      </c>
      <c r="DU24" s="15"/>
      <c r="DV24" s="15"/>
      <c r="DW24" s="15"/>
      <c r="DX24" s="15"/>
      <c r="DY24" s="15"/>
      <c r="DZ24" s="134">
        <f t="shared" si="37"/>
        <v>0</v>
      </c>
      <c r="EA24" s="90"/>
      <c r="EB24" s="34"/>
      <c r="EC24" s="34"/>
      <c r="ED24" s="34"/>
      <c r="EE24" s="134">
        <f t="shared" si="38"/>
        <v>0</v>
      </c>
      <c r="EF24" s="90"/>
      <c r="EG24" s="34"/>
      <c r="EH24" s="34"/>
      <c r="EI24" s="34"/>
      <c r="EJ24" s="16">
        <f t="shared" si="39"/>
        <v>0</v>
      </c>
      <c r="EK24" s="86"/>
      <c r="EL24" s="34"/>
      <c r="EM24" s="34"/>
      <c r="EN24" s="34"/>
      <c r="EO24" s="15">
        <f t="shared" si="40"/>
        <v>0</v>
      </c>
      <c r="EP24" s="15"/>
      <c r="EQ24" s="15">
        <f t="shared" si="41"/>
        <v>0</v>
      </c>
      <c r="ER24" s="15"/>
      <c r="ES24" s="16">
        <f t="shared" si="42"/>
        <v>0</v>
      </c>
      <c r="ET24" s="86"/>
      <c r="EU24" s="34"/>
      <c r="EV24" s="34"/>
      <c r="EW24" s="26"/>
      <c r="EX24" s="34"/>
      <c r="EY24" s="34"/>
      <c r="EZ24" s="26"/>
      <c r="FA24" s="34"/>
      <c r="FB24" s="34"/>
      <c r="FC24" s="34"/>
      <c r="FD24" s="134">
        <f t="shared" si="43"/>
        <v>0</v>
      </c>
      <c r="FE24" s="89"/>
      <c r="FF24" s="34"/>
      <c r="FG24" s="34"/>
      <c r="FH24" s="240"/>
      <c r="FI24" s="94"/>
      <c r="FJ24" s="15">
        <f t="shared" si="0"/>
        <v>0</v>
      </c>
      <c r="FK24" s="15"/>
      <c r="FL24" s="134">
        <f t="shared" si="44"/>
        <v>0</v>
      </c>
      <c r="FM24" s="26"/>
      <c r="FN24" s="34"/>
      <c r="FO24" s="34"/>
      <c r="FP24" s="34"/>
      <c r="FQ24" s="15">
        <f t="shared" si="45"/>
        <v>0</v>
      </c>
      <c r="FR24" s="15"/>
      <c r="FS24" s="15">
        <f t="shared" si="46"/>
        <v>0</v>
      </c>
      <c r="FT24" s="94"/>
      <c r="FU24" s="15">
        <f t="shared" si="47"/>
        <v>0</v>
      </c>
      <c r="FV24" s="15"/>
      <c r="FW24" s="134">
        <f t="shared" si="64"/>
        <v>0</v>
      </c>
      <c r="FX24" s="37"/>
      <c r="FY24" s="15">
        <f t="shared" si="49"/>
        <v>0</v>
      </c>
      <c r="FZ24" s="15"/>
      <c r="GA24" s="16">
        <f t="shared" si="50"/>
        <v>0</v>
      </c>
      <c r="GB24" s="37"/>
      <c r="GC24" s="16"/>
      <c r="GD24" s="161"/>
      <c r="GE24" s="134"/>
      <c r="GF24" s="37"/>
      <c r="GG24" s="15">
        <f t="shared" si="51"/>
        <v>0</v>
      </c>
      <c r="GH24" s="15">
        <v>0</v>
      </c>
      <c r="GI24" s="16">
        <f t="shared" si="59"/>
        <v>0</v>
      </c>
      <c r="GJ24" s="161"/>
      <c r="GK24" s="134">
        <f t="shared" si="52"/>
        <v>0</v>
      </c>
      <c r="GL24" s="37"/>
      <c r="GM24" s="16"/>
      <c r="GN24" s="397"/>
      <c r="GO24" s="113">
        <f t="shared" ref="GO24:GO39" si="74">D24+P24+AA24+AH24+AO24+AT24+AY24+BI24+BP24+BU24+BZ24+CE24+CH24+CM24+CP24+CY24+DD24+DO24+EB24+EG24+EL24+EU24+EX24+FA24+FF24+FN24</f>
        <v>0</v>
      </c>
      <c r="GP24" s="113"/>
      <c r="GQ24" s="154"/>
      <c r="GR24" s="113">
        <f t="shared" ref="GR24:GR29" si="75">G24+R24+BK24+DF24+DS24+EN24+FC24+FI24</f>
        <v>0</v>
      </c>
      <c r="GS24" s="113">
        <f t="shared" si="53"/>
        <v>0</v>
      </c>
      <c r="GT24" s="113">
        <f t="shared" ref="GT24:GT29" si="76">I24+T24+AA24+AT24+BB24+BP24+BZ24+CH24+CT24+CY24+DH24+EB24+EU24+FP24+FT24+FX24+GF24</f>
        <v>0</v>
      </c>
      <c r="GU24" s="113">
        <f t="shared" si="54"/>
        <v>0</v>
      </c>
      <c r="GV24" s="113">
        <f t="shared" ref="GV24:GV40" si="77">K24+AC24+AJ24+BD24+DJ24+EP24+V24</f>
        <v>0</v>
      </c>
      <c r="GW24" s="113">
        <f t="shared" si="55"/>
        <v>0</v>
      </c>
      <c r="GX24" s="380">
        <f t="shared" ref="GX24:GX41" si="78">M24+X24+AE24+AL24+AQ24+AV24+BF24+BM24+BR24+BW24+CB24+CJ24+CV24+DA24+DL24+DY24+ED24+EI24+ER24+FK24+FV24+GB24+GD24+GJ24+FG24+GH24+FZ24+FR24</f>
        <v>0</v>
      </c>
      <c r="GY24" s="381">
        <f t="shared" si="57"/>
        <v>0</v>
      </c>
    </row>
    <row r="25" spans="1:207" x14ac:dyDescent="0.2">
      <c r="A25" s="21" t="s">
        <v>17</v>
      </c>
      <c r="B25" s="65" t="s">
        <v>78</v>
      </c>
      <c r="C25" s="90">
        <v>250000</v>
      </c>
      <c r="D25" s="34"/>
      <c r="E25" s="34"/>
      <c r="F25" s="34">
        <v>250</v>
      </c>
      <c r="G25" s="34">
        <v>34124</v>
      </c>
      <c r="H25" s="15">
        <f t="shared" si="4"/>
        <v>34374</v>
      </c>
      <c r="I25" s="15">
        <v>-2300</v>
      </c>
      <c r="J25" s="15">
        <f t="shared" si="5"/>
        <v>32074</v>
      </c>
      <c r="K25" s="15"/>
      <c r="L25" s="15">
        <f t="shared" si="6"/>
        <v>32074</v>
      </c>
      <c r="M25" s="15"/>
      <c r="N25" s="134">
        <f t="shared" si="7"/>
        <v>32074</v>
      </c>
      <c r="O25" s="90">
        <v>0</v>
      </c>
      <c r="P25" s="34"/>
      <c r="Q25" s="34"/>
      <c r="R25" s="34"/>
      <c r="S25" s="15">
        <f t="shared" si="8"/>
        <v>0</v>
      </c>
      <c r="T25" s="15"/>
      <c r="U25" s="15">
        <f t="shared" si="9"/>
        <v>0</v>
      </c>
      <c r="V25" s="15"/>
      <c r="W25" s="15">
        <f t="shared" si="10"/>
        <v>0</v>
      </c>
      <c r="X25" s="15"/>
      <c r="Y25" s="134">
        <f t="shared" si="11"/>
        <v>0</v>
      </c>
      <c r="Z25" s="90">
        <f>'[2]2016 ktgv bevétel_02'!$G$19</f>
        <v>0</v>
      </c>
      <c r="AA25" s="34"/>
      <c r="AB25" s="34"/>
      <c r="AC25" s="34"/>
      <c r="AD25" s="15">
        <f t="shared" si="12"/>
        <v>0</v>
      </c>
      <c r="AE25" s="15"/>
      <c r="AF25" s="134">
        <f t="shared" si="13"/>
        <v>0</v>
      </c>
      <c r="AG25" s="90">
        <f>'[2]2016 ktgv bevétel_02'!$G$19</f>
        <v>0</v>
      </c>
      <c r="AH25" s="34"/>
      <c r="AI25" s="34"/>
      <c r="AJ25" s="34"/>
      <c r="AK25" s="15">
        <f t="shared" si="14"/>
        <v>0</v>
      </c>
      <c r="AL25" s="15"/>
      <c r="AM25" s="16">
        <f t="shared" si="15"/>
        <v>0</v>
      </c>
      <c r="AN25" s="86">
        <f>'[2]2016 ktgv bevétel_02'!$G$19</f>
        <v>0</v>
      </c>
      <c r="AO25" s="34"/>
      <c r="AP25" s="34"/>
      <c r="AQ25" s="34"/>
      <c r="AR25" s="134">
        <f t="shared" si="16"/>
        <v>0</v>
      </c>
      <c r="AS25" s="90">
        <v>0</v>
      </c>
      <c r="AT25" s="34"/>
      <c r="AU25" s="34"/>
      <c r="AV25" s="34"/>
      <c r="AW25" s="134">
        <f t="shared" si="17"/>
        <v>0</v>
      </c>
      <c r="AX25" s="90">
        <v>7600000</v>
      </c>
      <c r="AY25" s="34"/>
      <c r="AZ25" s="34"/>
      <c r="BA25" s="34">
        <v>7600</v>
      </c>
      <c r="BB25" s="34">
        <v>1062</v>
      </c>
      <c r="BC25" s="15">
        <f t="shared" si="18"/>
        <v>8662</v>
      </c>
      <c r="BD25" s="15">
        <v>2623</v>
      </c>
      <c r="BE25" s="15">
        <f t="shared" si="19"/>
        <v>11285</v>
      </c>
      <c r="BF25" s="15">
        <v>1735</v>
      </c>
      <c r="BG25" s="16">
        <f t="shared" si="20"/>
        <v>13020</v>
      </c>
      <c r="BH25" s="86">
        <f>'[2]2016 ktgv bevétel_02'!$G$19</f>
        <v>0</v>
      </c>
      <c r="BI25" s="34"/>
      <c r="BJ25" s="34"/>
      <c r="BK25" s="34">
        <v>3745</v>
      </c>
      <c r="BL25" s="15">
        <f t="shared" si="21"/>
        <v>3745</v>
      </c>
      <c r="BM25" s="15"/>
      <c r="BN25" s="16">
        <f t="shared" si="22"/>
        <v>3745</v>
      </c>
      <c r="BO25" s="90">
        <f>'[2]2016 ktgv bevétel_02'!$G$19</f>
        <v>0</v>
      </c>
      <c r="BP25" s="34"/>
      <c r="BQ25" s="34"/>
      <c r="BR25" s="34"/>
      <c r="BS25" s="134">
        <f t="shared" si="23"/>
        <v>0</v>
      </c>
      <c r="BT25" s="90">
        <f>'[2]2016 ktgv bevétel_02'!$G$19</f>
        <v>0</v>
      </c>
      <c r="BU25" s="34"/>
      <c r="BV25" s="34"/>
      <c r="BW25" s="34"/>
      <c r="BX25" s="16">
        <f t="shared" si="24"/>
        <v>0</v>
      </c>
      <c r="BY25" s="86">
        <f>'[2]2016 ktgv bevétel_02'!$G$19</f>
        <v>0</v>
      </c>
      <c r="BZ25" s="34"/>
      <c r="CA25" s="34"/>
      <c r="CB25" s="34"/>
      <c r="CC25" s="16">
        <f t="shared" si="25"/>
        <v>0</v>
      </c>
      <c r="CD25" s="86">
        <f>'[2]2016 ktgv bevétel_02'!$G$19</f>
        <v>0</v>
      </c>
      <c r="CE25" s="34"/>
      <c r="CF25" s="83"/>
      <c r="CG25" s="90">
        <f>'[2]2016 ktgv bevétel_02'!$G$19</f>
        <v>0</v>
      </c>
      <c r="CH25" s="34"/>
      <c r="CI25" s="34"/>
      <c r="CJ25" s="34"/>
      <c r="CK25" s="16">
        <f t="shared" si="26"/>
        <v>0</v>
      </c>
      <c r="CL25" s="86">
        <f>'[2]2016 ktgv bevétel_02'!$G$19</f>
        <v>0</v>
      </c>
      <c r="CM25" s="34"/>
      <c r="CN25" s="83"/>
      <c r="CO25" s="90">
        <f>'[2]2016 ktgv bevétel_02'!$G$19</f>
        <v>0</v>
      </c>
      <c r="CP25" s="34"/>
      <c r="CQ25" s="34"/>
      <c r="CR25" s="34"/>
      <c r="CS25" s="15">
        <f t="shared" si="27"/>
        <v>0</v>
      </c>
      <c r="CT25" s="15"/>
      <c r="CU25" s="15">
        <f t="shared" si="28"/>
        <v>0</v>
      </c>
      <c r="CV25" s="15"/>
      <c r="CW25" s="16">
        <f t="shared" si="29"/>
        <v>0</v>
      </c>
      <c r="CX25" s="86">
        <f>'[2]2016 ktgv bevétel_02'!$G$19</f>
        <v>0</v>
      </c>
      <c r="CY25" s="34"/>
      <c r="CZ25" s="34"/>
      <c r="DA25" s="34"/>
      <c r="DB25" s="16">
        <f t="shared" si="30"/>
        <v>0</v>
      </c>
      <c r="DC25" s="86">
        <v>966861275</v>
      </c>
      <c r="DD25" s="34">
        <v>4742</v>
      </c>
      <c r="DE25" s="34">
        <v>971603</v>
      </c>
      <c r="DF25" s="34">
        <v>13983</v>
      </c>
      <c r="DG25" s="15">
        <f t="shared" si="31"/>
        <v>985586</v>
      </c>
      <c r="DH25" s="15">
        <v>9464</v>
      </c>
      <c r="DI25" s="15">
        <f t="shared" si="32"/>
        <v>995050</v>
      </c>
      <c r="DJ25" s="15">
        <v>778</v>
      </c>
      <c r="DK25" s="15">
        <f t="shared" si="33"/>
        <v>995828</v>
      </c>
      <c r="DL25" s="15">
        <v>8753</v>
      </c>
      <c r="DM25" s="134">
        <f t="shared" si="34"/>
        <v>1004581</v>
      </c>
      <c r="DN25" s="90">
        <v>0</v>
      </c>
      <c r="DO25" s="34"/>
      <c r="DP25" s="34"/>
      <c r="DQ25" s="34"/>
      <c r="DR25" s="34"/>
      <c r="DS25" s="34"/>
      <c r="DT25" s="15">
        <f t="shared" si="35"/>
        <v>0</v>
      </c>
      <c r="DU25" s="15"/>
      <c r="DV25" s="15"/>
      <c r="DW25" s="15"/>
      <c r="DX25" s="15"/>
      <c r="DY25" s="15"/>
      <c r="DZ25" s="134">
        <f t="shared" si="37"/>
        <v>0</v>
      </c>
      <c r="EA25" s="90">
        <f>'[2]2016 ktgv bevétel_02'!$G$19</f>
        <v>0</v>
      </c>
      <c r="EB25" s="34"/>
      <c r="EC25" s="34"/>
      <c r="ED25" s="34"/>
      <c r="EE25" s="134">
        <f t="shared" si="38"/>
        <v>0</v>
      </c>
      <c r="EF25" s="90"/>
      <c r="EG25" s="34"/>
      <c r="EH25" s="34"/>
      <c r="EI25" s="34"/>
      <c r="EJ25" s="16">
        <f t="shared" si="39"/>
        <v>0</v>
      </c>
      <c r="EK25" s="86">
        <v>8800000</v>
      </c>
      <c r="EL25" s="34">
        <v>63</v>
      </c>
      <c r="EM25" s="34">
        <v>8863</v>
      </c>
      <c r="EN25" s="34">
        <v>25</v>
      </c>
      <c r="EO25" s="15">
        <f t="shared" si="40"/>
        <v>8888</v>
      </c>
      <c r="EP25" s="15">
        <v>54</v>
      </c>
      <c r="EQ25" s="15">
        <f t="shared" si="41"/>
        <v>8942</v>
      </c>
      <c r="ER25" s="15">
        <v>42</v>
      </c>
      <c r="ES25" s="16">
        <f t="shared" si="42"/>
        <v>8984</v>
      </c>
      <c r="ET25" s="86"/>
      <c r="EU25" s="34"/>
      <c r="EV25" s="34"/>
      <c r="EW25" s="26"/>
      <c r="EX25" s="34"/>
      <c r="EY25" s="34"/>
      <c r="EZ25" s="26"/>
      <c r="FA25" s="34"/>
      <c r="FB25" s="34"/>
      <c r="FC25" s="34"/>
      <c r="FD25" s="134">
        <f t="shared" si="43"/>
        <v>0</v>
      </c>
      <c r="FE25" s="89">
        <v>1162</v>
      </c>
      <c r="FF25" s="34">
        <v>1162</v>
      </c>
      <c r="FG25" s="34"/>
      <c r="FH25" s="240">
        <f>SUM(FF25:FG25)</f>
        <v>1162</v>
      </c>
      <c r="FI25" s="94">
        <v>3401</v>
      </c>
      <c r="FJ25" s="15">
        <f t="shared" si="0"/>
        <v>3401</v>
      </c>
      <c r="FK25" s="15"/>
      <c r="FL25" s="134">
        <f t="shared" si="44"/>
        <v>3401</v>
      </c>
      <c r="FM25" s="26"/>
      <c r="FN25" s="34"/>
      <c r="FO25" s="34"/>
      <c r="FP25" s="34"/>
      <c r="FQ25" s="15">
        <f t="shared" si="45"/>
        <v>0</v>
      </c>
      <c r="FR25" s="15"/>
      <c r="FS25" s="15">
        <f t="shared" si="46"/>
        <v>0</v>
      </c>
      <c r="FT25" s="94">
        <v>2839</v>
      </c>
      <c r="FU25" s="15">
        <f t="shared" si="47"/>
        <v>2839</v>
      </c>
      <c r="FV25" s="15"/>
      <c r="FW25" s="134">
        <f t="shared" si="64"/>
        <v>2839</v>
      </c>
      <c r="FX25" s="37"/>
      <c r="FY25" s="15">
        <f t="shared" si="49"/>
        <v>0</v>
      </c>
      <c r="FZ25" s="15"/>
      <c r="GA25" s="16">
        <f t="shared" si="50"/>
        <v>0</v>
      </c>
      <c r="GB25" s="37"/>
      <c r="GC25" s="16"/>
      <c r="GD25" s="161"/>
      <c r="GE25" s="134"/>
      <c r="GF25" s="37"/>
      <c r="GG25" s="15">
        <f t="shared" si="51"/>
        <v>0</v>
      </c>
      <c r="GH25" s="15"/>
      <c r="GI25" s="16">
        <f t="shared" si="59"/>
        <v>0</v>
      </c>
      <c r="GJ25" s="161"/>
      <c r="GK25" s="134">
        <f t="shared" si="52"/>
        <v>0</v>
      </c>
      <c r="GL25" s="37"/>
      <c r="GM25" s="16"/>
      <c r="GN25" s="396">
        <v>983512</v>
      </c>
      <c r="GO25" s="113">
        <f t="shared" si="74"/>
        <v>5967</v>
      </c>
      <c r="GP25" s="113"/>
      <c r="GQ25" s="113">
        <v>989479</v>
      </c>
      <c r="GR25" s="113">
        <f t="shared" si="75"/>
        <v>55278</v>
      </c>
      <c r="GS25" s="113">
        <f t="shared" si="53"/>
        <v>1044757</v>
      </c>
      <c r="GT25" s="113">
        <f t="shared" si="76"/>
        <v>11065</v>
      </c>
      <c r="GU25" s="113">
        <f t="shared" si="54"/>
        <v>1055822</v>
      </c>
      <c r="GV25" s="113">
        <f t="shared" si="77"/>
        <v>3455</v>
      </c>
      <c r="GW25" s="113">
        <f t="shared" si="55"/>
        <v>1059277</v>
      </c>
      <c r="GX25" s="380">
        <f t="shared" si="78"/>
        <v>10530</v>
      </c>
      <c r="GY25" s="381">
        <f t="shared" si="57"/>
        <v>1069807</v>
      </c>
    </row>
    <row r="26" spans="1:207" s="24" customFormat="1" x14ac:dyDescent="0.2">
      <c r="A26" s="28" t="s">
        <v>18</v>
      </c>
      <c r="B26" s="67" t="s">
        <v>79</v>
      </c>
      <c r="C26" s="46">
        <v>0</v>
      </c>
      <c r="D26" s="36"/>
      <c r="E26" s="36"/>
      <c r="F26" s="36"/>
      <c r="G26" s="36"/>
      <c r="H26" s="15">
        <f t="shared" si="4"/>
        <v>0</v>
      </c>
      <c r="I26" s="15"/>
      <c r="J26" s="15">
        <f t="shared" si="5"/>
        <v>0</v>
      </c>
      <c r="K26" s="15"/>
      <c r="L26" s="15">
        <f t="shared" si="6"/>
        <v>0</v>
      </c>
      <c r="M26" s="15"/>
      <c r="N26" s="134">
        <f t="shared" si="7"/>
        <v>0</v>
      </c>
      <c r="O26" s="46">
        <v>0</v>
      </c>
      <c r="P26" s="36"/>
      <c r="Q26" s="36"/>
      <c r="R26" s="36"/>
      <c r="S26" s="15">
        <f t="shared" si="8"/>
        <v>0</v>
      </c>
      <c r="T26" s="15"/>
      <c r="U26" s="15">
        <f t="shared" si="9"/>
        <v>0</v>
      </c>
      <c r="V26" s="15"/>
      <c r="W26" s="15">
        <f t="shared" si="10"/>
        <v>0</v>
      </c>
      <c r="X26" s="15"/>
      <c r="Y26" s="134">
        <f t="shared" si="11"/>
        <v>0</v>
      </c>
      <c r="Z26" s="46">
        <v>0</v>
      </c>
      <c r="AA26" s="36"/>
      <c r="AB26" s="36"/>
      <c r="AC26" s="36"/>
      <c r="AD26" s="15">
        <f t="shared" si="12"/>
        <v>0</v>
      </c>
      <c r="AE26" s="15"/>
      <c r="AF26" s="134">
        <f t="shared" si="13"/>
        <v>0</v>
      </c>
      <c r="AG26" s="46">
        <v>0</v>
      </c>
      <c r="AH26" s="36"/>
      <c r="AI26" s="36"/>
      <c r="AJ26" s="36"/>
      <c r="AK26" s="15">
        <f t="shared" si="14"/>
        <v>0</v>
      </c>
      <c r="AL26" s="15"/>
      <c r="AM26" s="16">
        <f t="shared" si="15"/>
        <v>0</v>
      </c>
      <c r="AN26" s="85">
        <v>0</v>
      </c>
      <c r="AO26" s="36"/>
      <c r="AP26" s="36"/>
      <c r="AQ26" s="36"/>
      <c r="AR26" s="134">
        <f t="shared" si="16"/>
        <v>0</v>
      </c>
      <c r="AS26" s="46">
        <v>0</v>
      </c>
      <c r="AT26" s="36"/>
      <c r="AU26" s="36"/>
      <c r="AV26" s="36"/>
      <c r="AW26" s="134">
        <f t="shared" si="17"/>
        <v>0</v>
      </c>
      <c r="AX26" s="46">
        <v>0</v>
      </c>
      <c r="AY26" s="36"/>
      <c r="AZ26" s="36"/>
      <c r="BA26" s="36"/>
      <c r="BB26" s="36"/>
      <c r="BC26" s="15">
        <f t="shared" si="18"/>
        <v>0</v>
      </c>
      <c r="BD26" s="15"/>
      <c r="BE26" s="15">
        <f t="shared" si="19"/>
        <v>0</v>
      </c>
      <c r="BF26" s="15"/>
      <c r="BG26" s="16">
        <f t="shared" si="20"/>
        <v>0</v>
      </c>
      <c r="BH26" s="85">
        <v>0</v>
      </c>
      <c r="BI26" s="36"/>
      <c r="BJ26" s="36"/>
      <c r="BK26" s="36"/>
      <c r="BL26" s="15">
        <f t="shared" si="21"/>
        <v>0</v>
      </c>
      <c r="BM26" s="15"/>
      <c r="BN26" s="16">
        <f t="shared" si="22"/>
        <v>0</v>
      </c>
      <c r="BO26" s="46">
        <v>0</v>
      </c>
      <c r="BP26" s="36"/>
      <c r="BQ26" s="36"/>
      <c r="BR26" s="36"/>
      <c r="BS26" s="134">
        <f t="shared" si="23"/>
        <v>0</v>
      </c>
      <c r="BT26" s="46">
        <v>0</v>
      </c>
      <c r="BU26" s="36"/>
      <c r="BV26" s="36"/>
      <c r="BW26" s="36"/>
      <c r="BX26" s="16">
        <f t="shared" si="24"/>
        <v>0</v>
      </c>
      <c r="BY26" s="85">
        <v>0</v>
      </c>
      <c r="BZ26" s="36"/>
      <c r="CA26" s="36"/>
      <c r="CB26" s="36"/>
      <c r="CC26" s="16">
        <f t="shared" si="25"/>
        <v>0</v>
      </c>
      <c r="CD26" s="85">
        <v>0</v>
      </c>
      <c r="CE26" s="36"/>
      <c r="CF26" s="82"/>
      <c r="CG26" s="46">
        <v>0</v>
      </c>
      <c r="CH26" s="36"/>
      <c r="CI26" s="36"/>
      <c r="CJ26" s="36"/>
      <c r="CK26" s="16">
        <f t="shared" si="26"/>
        <v>0</v>
      </c>
      <c r="CL26" s="85">
        <v>0</v>
      </c>
      <c r="CM26" s="36"/>
      <c r="CN26" s="82"/>
      <c r="CO26" s="46">
        <v>0</v>
      </c>
      <c r="CP26" s="36"/>
      <c r="CQ26" s="36"/>
      <c r="CR26" s="36"/>
      <c r="CS26" s="15">
        <f t="shared" si="27"/>
        <v>0</v>
      </c>
      <c r="CT26" s="15"/>
      <c r="CU26" s="15">
        <f t="shared" si="28"/>
        <v>0</v>
      </c>
      <c r="CV26" s="15"/>
      <c r="CW26" s="16">
        <f t="shared" si="29"/>
        <v>0</v>
      </c>
      <c r="CX26" s="85">
        <v>0</v>
      </c>
      <c r="CY26" s="36"/>
      <c r="CZ26" s="36"/>
      <c r="DA26" s="36"/>
      <c r="DB26" s="16">
        <f t="shared" si="30"/>
        <v>0</v>
      </c>
      <c r="DC26" s="85">
        <v>966861275</v>
      </c>
      <c r="DD26" s="36">
        <v>4742</v>
      </c>
      <c r="DE26" s="36">
        <v>971603</v>
      </c>
      <c r="DF26" s="36">
        <v>13983</v>
      </c>
      <c r="DG26" s="15">
        <f t="shared" si="31"/>
        <v>985586</v>
      </c>
      <c r="DH26" s="15">
        <v>9464</v>
      </c>
      <c r="DI26" s="15">
        <f t="shared" si="32"/>
        <v>995050</v>
      </c>
      <c r="DJ26" s="15">
        <v>778</v>
      </c>
      <c r="DK26" s="15">
        <f t="shared" si="33"/>
        <v>995828</v>
      </c>
      <c r="DL26" s="15">
        <v>8753</v>
      </c>
      <c r="DM26" s="134">
        <f t="shared" si="34"/>
        <v>1004581</v>
      </c>
      <c r="DN26" s="46">
        <v>0</v>
      </c>
      <c r="DO26" s="36"/>
      <c r="DP26" s="36"/>
      <c r="DQ26" s="36"/>
      <c r="DR26" s="36"/>
      <c r="DS26" s="36"/>
      <c r="DT26" s="15">
        <f t="shared" si="35"/>
        <v>0</v>
      </c>
      <c r="DU26" s="15"/>
      <c r="DV26" s="15"/>
      <c r="DW26" s="15"/>
      <c r="DX26" s="15"/>
      <c r="DY26" s="15"/>
      <c r="DZ26" s="134">
        <f t="shared" si="37"/>
        <v>0</v>
      </c>
      <c r="EA26" s="46">
        <v>0</v>
      </c>
      <c r="EB26" s="36"/>
      <c r="EC26" s="36"/>
      <c r="ED26" s="36"/>
      <c r="EE26" s="134">
        <f t="shared" si="38"/>
        <v>0</v>
      </c>
      <c r="EF26" s="46"/>
      <c r="EG26" s="36"/>
      <c r="EH26" s="36"/>
      <c r="EI26" s="36"/>
      <c r="EJ26" s="16">
        <f t="shared" si="39"/>
        <v>0</v>
      </c>
      <c r="EK26" s="85">
        <v>0</v>
      </c>
      <c r="EL26" s="36"/>
      <c r="EM26" s="36"/>
      <c r="EN26" s="36"/>
      <c r="EO26" s="15">
        <f t="shared" si="40"/>
        <v>0</v>
      </c>
      <c r="EP26" s="15"/>
      <c r="EQ26" s="15">
        <f t="shared" si="41"/>
        <v>0</v>
      </c>
      <c r="ER26" s="15"/>
      <c r="ES26" s="16">
        <f t="shared" si="42"/>
        <v>0</v>
      </c>
      <c r="ET26" s="85"/>
      <c r="EU26" s="36"/>
      <c r="EV26" s="36"/>
      <c r="EW26" s="43"/>
      <c r="EX26" s="36"/>
      <c r="EY26" s="36"/>
      <c r="EZ26" s="43"/>
      <c r="FA26" s="36"/>
      <c r="FB26" s="36"/>
      <c r="FC26" s="36"/>
      <c r="FD26" s="134">
        <f t="shared" si="43"/>
        <v>0</v>
      </c>
      <c r="FE26" s="88"/>
      <c r="FF26" s="36"/>
      <c r="FG26" s="36"/>
      <c r="FH26" s="240">
        <f t="shared" ref="FH26:FH41" si="79">SUM(FF26:FG26)</f>
        <v>0</v>
      </c>
      <c r="FI26" s="369"/>
      <c r="FJ26" s="15">
        <f t="shared" si="0"/>
        <v>0</v>
      </c>
      <c r="FK26" s="15"/>
      <c r="FL26" s="134">
        <f t="shared" si="44"/>
        <v>0</v>
      </c>
      <c r="FM26" s="43"/>
      <c r="FN26" s="36"/>
      <c r="FO26" s="36"/>
      <c r="FP26" s="36"/>
      <c r="FQ26" s="15">
        <f t="shared" si="45"/>
        <v>0</v>
      </c>
      <c r="FR26" s="15"/>
      <c r="FS26" s="15">
        <f t="shared" si="46"/>
        <v>0</v>
      </c>
      <c r="FT26" s="369"/>
      <c r="FU26" s="15">
        <f t="shared" si="47"/>
        <v>0</v>
      </c>
      <c r="FV26" s="15"/>
      <c r="FW26" s="134">
        <f t="shared" si="64"/>
        <v>0</v>
      </c>
      <c r="FX26" s="37"/>
      <c r="FY26" s="15">
        <f t="shared" si="49"/>
        <v>0</v>
      </c>
      <c r="FZ26" s="15"/>
      <c r="GA26" s="16">
        <f t="shared" si="50"/>
        <v>0</v>
      </c>
      <c r="GB26" s="37"/>
      <c r="GC26" s="16"/>
      <c r="GD26" s="161"/>
      <c r="GE26" s="134"/>
      <c r="GF26" s="37"/>
      <c r="GG26" s="15">
        <f t="shared" si="51"/>
        <v>0</v>
      </c>
      <c r="GH26" s="15"/>
      <c r="GI26" s="16">
        <f t="shared" si="59"/>
        <v>0</v>
      </c>
      <c r="GJ26" s="161"/>
      <c r="GK26" s="134">
        <f t="shared" si="52"/>
        <v>0</v>
      </c>
      <c r="GL26" s="37"/>
      <c r="GM26" s="16"/>
      <c r="GN26" s="396">
        <v>966862</v>
      </c>
      <c r="GO26" s="113">
        <f t="shared" si="74"/>
        <v>4742</v>
      </c>
      <c r="GP26" s="113"/>
      <c r="GQ26" s="113">
        <v>971604</v>
      </c>
      <c r="GR26" s="113">
        <f t="shared" si="75"/>
        <v>13983</v>
      </c>
      <c r="GS26" s="113">
        <f t="shared" si="53"/>
        <v>985587</v>
      </c>
      <c r="GT26" s="113">
        <f t="shared" si="76"/>
        <v>9464</v>
      </c>
      <c r="GU26" s="113">
        <f t="shared" si="54"/>
        <v>995051</v>
      </c>
      <c r="GV26" s="113">
        <f t="shared" si="77"/>
        <v>778</v>
      </c>
      <c r="GW26" s="113">
        <f t="shared" si="55"/>
        <v>995829</v>
      </c>
      <c r="GX26" s="380">
        <f t="shared" si="78"/>
        <v>8753</v>
      </c>
      <c r="GY26" s="381">
        <f t="shared" si="57"/>
        <v>1004582</v>
      </c>
    </row>
    <row r="27" spans="1:207" x14ac:dyDescent="0.2">
      <c r="A27" s="21" t="s">
        <v>19</v>
      </c>
      <c r="B27" s="65" t="s">
        <v>40</v>
      </c>
      <c r="C27" s="115">
        <v>0</v>
      </c>
      <c r="D27" s="34"/>
      <c r="E27" s="34"/>
      <c r="F27" s="34"/>
      <c r="G27" s="34"/>
      <c r="H27" s="15">
        <f t="shared" si="4"/>
        <v>0</v>
      </c>
      <c r="I27" s="15"/>
      <c r="J27" s="15">
        <f t="shared" si="5"/>
        <v>0</v>
      </c>
      <c r="K27" s="15"/>
      <c r="L27" s="15">
        <f t="shared" si="6"/>
        <v>0</v>
      </c>
      <c r="M27" s="15">
        <v>300</v>
      </c>
      <c r="N27" s="134">
        <f t="shared" si="7"/>
        <v>300</v>
      </c>
      <c r="O27" s="115">
        <v>0</v>
      </c>
      <c r="P27" s="17"/>
      <c r="Q27" s="17"/>
      <c r="R27" s="17"/>
      <c r="S27" s="15">
        <f t="shared" si="8"/>
        <v>0</v>
      </c>
      <c r="T27" s="15"/>
      <c r="U27" s="15">
        <f t="shared" si="9"/>
        <v>0</v>
      </c>
      <c r="V27" s="15"/>
      <c r="W27" s="15">
        <f t="shared" si="10"/>
        <v>0</v>
      </c>
      <c r="X27" s="15"/>
      <c r="Y27" s="134">
        <f t="shared" si="11"/>
        <v>0</v>
      </c>
      <c r="Z27" s="115">
        <v>0</v>
      </c>
      <c r="AA27" s="34"/>
      <c r="AB27" s="34"/>
      <c r="AC27" s="34"/>
      <c r="AD27" s="15">
        <f t="shared" si="12"/>
        <v>0</v>
      </c>
      <c r="AE27" s="15"/>
      <c r="AF27" s="134">
        <f t="shared" si="13"/>
        <v>0</v>
      </c>
      <c r="AG27" s="115">
        <v>315004280</v>
      </c>
      <c r="AH27" s="34"/>
      <c r="AI27" s="34">
        <v>315004</v>
      </c>
      <c r="AJ27" s="34">
        <v>12082</v>
      </c>
      <c r="AK27" s="15">
        <f t="shared" si="14"/>
        <v>327086</v>
      </c>
      <c r="AL27" s="15">
        <v>54094</v>
      </c>
      <c r="AM27" s="16">
        <f t="shared" si="15"/>
        <v>381180</v>
      </c>
      <c r="AN27" s="84">
        <v>0</v>
      </c>
      <c r="AO27" s="34"/>
      <c r="AP27" s="34"/>
      <c r="AQ27" s="34"/>
      <c r="AR27" s="134">
        <f t="shared" si="16"/>
        <v>0</v>
      </c>
      <c r="AS27" s="115">
        <v>0</v>
      </c>
      <c r="AT27" s="34"/>
      <c r="AU27" s="34"/>
      <c r="AV27" s="34"/>
      <c r="AW27" s="134">
        <f t="shared" si="17"/>
        <v>0</v>
      </c>
      <c r="AX27" s="115">
        <v>0</v>
      </c>
      <c r="AY27" s="34"/>
      <c r="AZ27" s="34"/>
      <c r="BA27" s="34"/>
      <c r="BB27" s="34"/>
      <c r="BC27" s="15">
        <f t="shared" si="18"/>
        <v>0</v>
      </c>
      <c r="BD27" s="15"/>
      <c r="BE27" s="15">
        <f t="shared" si="19"/>
        <v>0</v>
      </c>
      <c r="BF27" s="15"/>
      <c r="BG27" s="16">
        <f t="shared" si="20"/>
        <v>0</v>
      </c>
      <c r="BH27" s="84">
        <v>0</v>
      </c>
      <c r="BI27" s="34"/>
      <c r="BJ27" s="34"/>
      <c r="BK27" s="34"/>
      <c r="BL27" s="15">
        <f t="shared" si="21"/>
        <v>0</v>
      </c>
      <c r="BM27" s="15"/>
      <c r="BN27" s="16">
        <f t="shared" si="22"/>
        <v>0</v>
      </c>
      <c r="BO27" s="115">
        <v>0</v>
      </c>
      <c r="BP27" s="34"/>
      <c r="BQ27" s="34"/>
      <c r="BR27" s="34"/>
      <c r="BS27" s="134">
        <f t="shared" si="23"/>
        <v>0</v>
      </c>
      <c r="BT27" s="115">
        <v>0</v>
      </c>
      <c r="BU27" s="34"/>
      <c r="BV27" s="34"/>
      <c r="BW27" s="34"/>
      <c r="BX27" s="16">
        <f t="shared" si="24"/>
        <v>0</v>
      </c>
      <c r="BY27" s="84">
        <v>0</v>
      </c>
      <c r="BZ27" s="34"/>
      <c r="CA27" s="34"/>
      <c r="CB27" s="34"/>
      <c r="CC27" s="16">
        <f t="shared" si="25"/>
        <v>0</v>
      </c>
      <c r="CD27" s="84">
        <v>0</v>
      </c>
      <c r="CE27" s="34"/>
      <c r="CF27" s="83"/>
      <c r="CG27" s="115">
        <v>0</v>
      </c>
      <c r="CH27" s="34"/>
      <c r="CI27" s="34"/>
      <c r="CJ27" s="34"/>
      <c r="CK27" s="16">
        <f t="shared" si="26"/>
        <v>0</v>
      </c>
      <c r="CL27" s="84">
        <v>0</v>
      </c>
      <c r="CM27" s="34"/>
      <c r="CN27" s="83"/>
      <c r="CO27" s="115">
        <v>0</v>
      </c>
      <c r="CP27" s="34"/>
      <c r="CQ27" s="34"/>
      <c r="CR27" s="34"/>
      <c r="CS27" s="15">
        <f t="shared" si="27"/>
        <v>0</v>
      </c>
      <c r="CT27" s="15"/>
      <c r="CU27" s="15">
        <f t="shared" si="28"/>
        <v>0</v>
      </c>
      <c r="CV27" s="15"/>
      <c r="CW27" s="16">
        <f t="shared" si="29"/>
        <v>0</v>
      </c>
      <c r="CX27" s="84">
        <v>0</v>
      </c>
      <c r="CY27" s="34"/>
      <c r="CZ27" s="34"/>
      <c r="DA27" s="34"/>
      <c r="DB27" s="16">
        <f t="shared" si="30"/>
        <v>0</v>
      </c>
      <c r="DC27" s="84">
        <v>0</v>
      </c>
      <c r="DD27" s="34"/>
      <c r="DE27" s="34"/>
      <c r="DF27" s="34"/>
      <c r="DG27" s="15">
        <f t="shared" si="31"/>
        <v>0</v>
      </c>
      <c r="DH27" s="15"/>
      <c r="DI27" s="15">
        <f t="shared" si="32"/>
        <v>0</v>
      </c>
      <c r="DJ27" s="15"/>
      <c r="DK27" s="15">
        <f t="shared" si="33"/>
        <v>0</v>
      </c>
      <c r="DL27" s="15"/>
      <c r="DM27" s="134">
        <f t="shared" si="34"/>
        <v>0</v>
      </c>
      <c r="DN27" s="115">
        <v>0</v>
      </c>
      <c r="DO27" s="34"/>
      <c r="DP27" s="34"/>
      <c r="DQ27" s="34"/>
      <c r="DR27" s="34"/>
      <c r="DS27" s="34"/>
      <c r="DT27" s="15">
        <f t="shared" si="35"/>
        <v>0</v>
      </c>
      <c r="DU27" s="15"/>
      <c r="DV27" s="15"/>
      <c r="DW27" s="15"/>
      <c r="DX27" s="15"/>
      <c r="DY27" s="15"/>
      <c r="DZ27" s="134">
        <f t="shared" si="37"/>
        <v>0</v>
      </c>
      <c r="EA27" s="115">
        <v>0</v>
      </c>
      <c r="EB27" s="34"/>
      <c r="EC27" s="34"/>
      <c r="ED27" s="34"/>
      <c r="EE27" s="134">
        <f t="shared" si="38"/>
        <v>0</v>
      </c>
      <c r="EF27" s="90"/>
      <c r="EG27" s="34"/>
      <c r="EH27" s="34"/>
      <c r="EI27" s="34"/>
      <c r="EJ27" s="16">
        <f t="shared" si="39"/>
        <v>0</v>
      </c>
      <c r="EK27" s="84">
        <v>0</v>
      </c>
      <c r="EL27" s="34"/>
      <c r="EM27" s="34"/>
      <c r="EN27" s="34"/>
      <c r="EO27" s="15">
        <f t="shared" si="40"/>
        <v>0</v>
      </c>
      <c r="EP27" s="15"/>
      <c r="EQ27" s="15">
        <f t="shared" si="41"/>
        <v>0</v>
      </c>
      <c r="ER27" s="15"/>
      <c r="ES27" s="16">
        <f t="shared" si="42"/>
        <v>0</v>
      </c>
      <c r="ET27" s="86"/>
      <c r="EU27" s="34"/>
      <c r="EV27" s="34"/>
      <c r="EW27" s="26"/>
      <c r="EX27" s="34"/>
      <c r="EY27" s="34"/>
      <c r="EZ27" s="26"/>
      <c r="FA27" s="34"/>
      <c r="FB27" s="34"/>
      <c r="FC27" s="34"/>
      <c r="FD27" s="134">
        <f t="shared" si="43"/>
        <v>0</v>
      </c>
      <c r="FE27" s="89"/>
      <c r="FF27" s="34"/>
      <c r="FG27" s="34"/>
      <c r="FH27" s="240">
        <f t="shared" si="79"/>
        <v>0</v>
      </c>
      <c r="FI27" s="94"/>
      <c r="FJ27" s="15">
        <f t="shared" si="0"/>
        <v>0</v>
      </c>
      <c r="FK27" s="15"/>
      <c r="FL27" s="134">
        <f t="shared" si="44"/>
        <v>0</v>
      </c>
      <c r="FM27" s="26"/>
      <c r="FN27" s="34"/>
      <c r="FO27" s="34"/>
      <c r="FP27" s="34"/>
      <c r="FQ27" s="15">
        <f t="shared" si="45"/>
        <v>0</v>
      </c>
      <c r="FR27" s="15"/>
      <c r="FS27" s="15">
        <f t="shared" si="46"/>
        <v>0</v>
      </c>
      <c r="FT27" s="94"/>
      <c r="FU27" s="15">
        <f t="shared" si="47"/>
        <v>0</v>
      </c>
      <c r="FV27" s="15"/>
      <c r="FW27" s="134">
        <f t="shared" si="64"/>
        <v>0</v>
      </c>
      <c r="FX27" s="37"/>
      <c r="FY27" s="15">
        <f t="shared" si="49"/>
        <v>0</v>
      </c>
      <c r="FZ27" s="15"/>
      <c r="GA27" s="16">
        <f t="shared" si="50"/>
        <v>0</v>
      </c>
      <c r="GB27" s="37"/>
      <c r="GC27" s="16"/>
      <c r="GD27" s="161"/>
      <c r="GE27" s="134"/>
      <c r="GF27" s="37"/>
      <c r="GG27" s="15">
        <f t="shared" si="51"/>
        <v>0</v>
      </c>
      <c r="GH27" s="15"/>
      <c r="GI27" s="16">
        <f t="shared" si="59"/>
        <v>0</v>
      </c>
      <c r="GJ27" s="161"/>
      <c r="GK27" s="134">
        <f t="shared" si="52"/>
        <v>0</v>
      </c>
      <c r="GL27" s="37"/>
      <c r="GM27" s="16"/>
      <c r="GN27" s="397">
        <f t="shared" ref="GN27:GN37" si="80">C27+O27+Z27+AG27+AN27+AS27+AX27+BH27+BO27+BT27+BY27+CD27+CG27+CL27+CO27+CX27+DC27+DN27+EA27+EF27+EK27+ET27+EW27+EZ27+FM27</f>
        <v>315004280</v>
      </c>
      <c r="GO27" s="113">
        <f t="shared" si="74"/>
        <v>0</v>
      </c>
      <c r="GP27" s="113"/>
      <c r="GQ27" s="113">
        <v>315004</v>
      </c>
      <c r="GR27" s="113">
        <f t="shared" si="75"/>
        <v>0</v>
      </c>
      <c r="GS27" s="113">
        <f t="shared" si="53"/>
        <v>315004</v>
      </c>
      <c r="GT27" s="113">
        <f t="shared" si="76"/>
        <v>0</v>
      </c>
      <c r="GU27" s="113">
        <f t="shared" si="54"/>
        <v>315004</v>
      </c>
      <c r="GV27" s="113">
        <f t="shared" si="77"/>
        <v>12082</v>
      </c>
      <c r="GW27" s="113">
        <f t="shared" si="55"/>
        <v>327086</v>
      </c>
      <c r="GX27" s="380">
        <f t="shared" si="78"/>
        <v>54394</v>
      </c>
      <c r="GY27" s="381">
        <f t="shared" si="57"/>
        <v>381480</v>
      </c>
    </row>
    <row r="28" spans="1:207" x14ac:dyDescent="0.2">
      <c r="A28" s="21" t="s">
        <v>20</v>
      </c>
      <c r="B28" s="65" t="s">
        <v>49</v>
      </c>
      <c r="C28" s="115">
        <v>32764000</v>
      </c>
      <c r="D28" s="17"/>
      <c r="E28" s="17"/>
      <c r="F28" s="17">
        <v>32764</v>
      </c>
      <c r="G28" s="17"/>
      <c r="H28" s="15">
        <f t="shared" si="4"/>
        <v>32764</v>
      </c>
      <c r="I28" s="15">
        <v>0</v>
      </c>
      <c r="J28" s="15">
        <f t="shared" si="5"/>
        <v>32764</v>
      </c>
      <c r="K28" s="15"/>
      <c r="L28" s="15">
        <f t="shared" si="6"/>
        <v>32764</v>
      </c>
      <c r="M28" s="15">
        <v>1913</v>
      </c>
      <c r="N28" s="134">
        <f t="shared" si="7"/>
        <v>34677</v>
      </c>
      <c r="O28" s="115">
        <v>60517000</v>
      </c>
      <c r="P28" s="17">
        <v>4687</v>
      </c>
      <c r="Q28" s="17">
        <v>65204</v>
      </c>
      <c r="R28" s="17"/>
      <c r="S28" s="15">
        <f t="shared" si="8"/>
        <v>65204</v>
      </c>
      <c r="T28" s="15">
        <v>-500</v>
      </c>
      <c r="U28" s="15">
        <f t="shared" si="9"/>
        <v>64704</v>
      </c>
      <c r="V28" s="15"/>
      <c r="W28" s="15">
        <f t="shared" si="10"/>
        <v>64704</v>
      </c>
      <c r="X28" s="15">
        <v>15650</v>
      </c>
      <c r="Y28" s="134">
        <f t="shared" si="11"/>
        <v>80354</v>
      </c>
      <c r="Z28" s="115">
        <v>0</v>
      </c>
      <c r="AA28" s="17"/>
      <c r="AB28" s="17"/>
      <c r="AC28" s="17"/>
      <c r="AD28" s="15">
        <f t="shared" si="12"/>
        <v>0</v>
      </c>
      <c r="AE28" s="15"/>
      <c r="AF28" s="134">
        <f t="shared" si="13"/>
        <v>0</v>
      </c>
      <c r="AG28" s="115">
        <v>0</v>
      </c>
      <c r="AH28" s="17"/>
      <c r="AI28" s="17"/>
      <c r="AJ28" s="17"/>
      <c r="AK28" s="15">
        <f t="shared" si="14"/>
        <v>0</v>
      </c>
      <c r="AL28" s="15"/>
      <c r="AM28" s="16">
        <f t="shared" si="15"/>
        <v>0</v>
      </c>
      <c r="AN28" s="84">
        <v>0</v>
      </c>
      <c r="AO28" s="17"/>
      <c r="AP28" s="17"/>
      <c r="AQ28" s="17"/>
      <c r="AR28" s="134">
        <f t="shared" si="16"/>
        <v>0</v>
      </c>
      <c r="AS28" s="115"/>
      <c r="AT28" s="17"/>
      <c r="AU28" s="17"/>
      <c r="AV28" s="17"/>
      <c r="AW28" s="134">
        <f t="shared" si="17"/>
        <v>0</v>
      </c>
      <c r="AX28" s="115">
        <v>0</v>
      </c>
      <c r="AY28" s="17"/>
      <c r="AZ28" s="17"/>
      <c r="BA28" s="17"/>
      <c r="BB28" s="17">
        <v>0</v>
      </c>
      <c r="BC28" s="15">
        <f t="shared" si="18"/>
        <v>0</v>
      </c>
      <c r="BD28" s="15"/>
      <c r="BE28" s="15">
        <f t="shared" si="19"/>
        <v>0</v>
      </c>
      <c r="BF28" s="15"/>
      <c r="BG28" s="16">
        <f t="shared" si="20"/>
        <v>0</v>
      </c>
      <c r="BH28" s="84">
        <v>0</v>
      </c>
      <c r="BI28" s="17"/>
      <c r="BJ28" s="17"/>
      <c r="BK28" s="17"/>
      <c r="BL28" s="15">
        <f t="shared" si="21"/>
        <v>0</v>
      </c>
      <c r="BM28" s="15"/>
      <c r="BN28" s="16">
        <f t="shared" si="22"/>
        <v>0</v>
      </c>
      <c r="BO28" s="115">
        <v>0</v>
      </c>
      <c r="BP28" s="17"/>
      <c r="BQ28" s="17"/>
      <c r="BR28" s="17"/>
      <c r="BS28" s="134">
        <f t="shared" si="23"/>
        <v>0</v>
      </c>
      <c r="BT28" s="115">
        <v>0</v>
      </c>
      <c r="BU28" s="17"/>
      <c r="BV28" s="17"/>
      <c r="BW28" s="17"/>
      <c r="BX28" s="16">
        <f t="shared" si="24"/>
        <v>0</v>
      </c>
      <c r="BY28" s="84">
        <v>26162000</v>
      </c>
      <c r="BZ28" s="17"/>
      <c r="CA28" s="17">
        <v>26162</v>
      </c>
      <c r="CB28" s="17">
        <v>356</v>
      </c>
      <c r="CC28" s="16">
        <f t="shared" si="25"/>
        <v>26518</v>
      </c>
      <c r="CD28" s="84">
        <v>0</v>
      </c>
      <c r="CE28" s="17"/>
      <c r="CF28" s="81"/>
      <c r="CG28" s="115">
        <v>927100</v>
      </c>
      <c r="CH28" s="17"/>
      <c r="CI28" s="17">
        <v>927</v>
      </c>
      <c r="CJ28" s="17">
        <v>272</v>
      </c>
      <c r="CK28" s="16">
        <f t="shared" si="26"/>
        <v>1199</v>
      </c>
      <c r="CL28" s="84"/>
      <c r="CM28" s="17"/>
      <c r="CN28" s="81"/>
      <c r="CO28" s="115">
        <v>0</v>
      </c>
      <c r="CP28" s="17"/>
      <c r="CQ28" s="17"/>
      <c r="CR28" s="17"/>
      <c r="CS28" s="15">
        <f t="shared" si="27"/>
        <v>0</v>
      </c>
      <c r="CT28" s="15">
        <v>14</v>
      </c>
      <c r="CU28" s="15">
        <f t="shared" si="28"/>
        <v>14</v>
      </c>
      <c r="CV28" s="15">
        <v>9</v>
      </c>
      <c r="CW28" s="16">
        <f t="shared" si="29"/>
        <v>23</v>
      </c>
      <c r="CX28" s="84">
        <v>0</v>
      </c>
      <c r="CY28" s="17"/>
      <c r="CZ28" s="17"/>
      <c r="DA28" s="17"/>
      <c r="DB28" s="16">
        <f t="shared" si="30"/>
        <v>0</v>
      </c>
      <c r="DC28" s="84">
        <v>0</v>
      </c>
      <c r="DD28" s="17"/>
      <c r="DE28" s="17"/>
      <c r="DF28" s="17"/>
      <c r="DG28" s="15">
        <f t="shared" si="31"/>
        <v>0</v>
      </c>
      <c r="DH28" s="15">
        <v>2300</v>
      </c>
      <c r="DI28" s="15">
        <f t="shared" si="32"/>
        <v>2300</v>
      </c>
      <c r="DJ28" s="15"/>
      <c r="DK28" s="15">
        <f t="shared" si="33"/>
        <v>2300</v>
      </c>
      <c r="DL28" s="15"/>
      <c r="DM28" s="134">
        <f t="shared" si="34"/>
        <v>2300</v>
      </c>
      <c r="DN28" s="115">
        <v>0</v>
      </c>
      <c r="DO28" s="17"/>
      <c r="DP28" s="17"/>
      <c r="DQ28" s="17"/>
      <c r="DR28" s="17"/>
      <c r="DS28" s="17"/>
      <c r="DT28" s="15">
        <f t="shared" si="35"/>
        <v>0</v>
      </c>
      <c r="DU28" s="15"/>
      <c r="DV28" s="15"/>
      <c r="DW28" s="15"/>
      <c r="DX28" s="15"/>
      <c r="DY28" s="15"/>
      <c r="DZ28" s="134">
        <f t="shared" si="37"/>
        <v>0</v>
      </c>
      <c r="EA28" s="115">
        <v>1700000</v>
      </c>
      <c r="EB28" s="17">
        <v>500</v>
      </c>
      <c r="EC28" s="17">
        <v>2200</v>
      </c>
      <c r="ED28" s="17">
        <v>3600</v>
      </c>
      <c r="EE28" s="134">
        <f t="shared" si="38"/>
        <v>5800</v>
      </c>
      <c r="EF28" s="115"/>
      <c r="EG28" s="17"/>
      <c r="EH28" s="17"/>
      <c r="EI28" s="17"/>
      <c r="EJ28" s="16">
        <f t="shared" si="39"/>
        <v>0</v>
      </c>
      <c r="EK28" s="84">
        <v>0</v>
      </c>
      <c r="EL28" s="17"/>
      <c r="EM28" s="17"/>
      <c r="EN28" s="17"/>
      <c r="EO28" s="15">
        <f t="shared" si="40"/>
        <v>0</v>
      </c>
      <c r="EP28" s="15"/>
      <c r="EQ28" s="15">
        <f t="shared" si="41"/>
        <v>0</v>
      </c>
      <c r="ER28" s="15"/>
      <c r="ES28" s="16">
        <f t="shared" si="42"/>
        <v>0</v>
      </c>
      <c r="ET28" s="84"/>
      <c r="EU28" s="17"/>
      <c r="EV28" s="17"/>
      <c r="EW28" s="27"/>
      <c r="EX28" s="17"/>
      <c r="EY28" s="17"/>
      <c r="EZ28" s="27"/>
      <c r="FA28" s="17"/>
      <c r="FB28" s="17"/>
      <c r="FC28" s="17"/>
      <c r="FD28" s="134">
        <f t="shared" si="43"/>
        <v>0</v>
      </c>
      <c r="FE28" s="87"/>
      <c r="FF28" s="17"/>
      <c r="FG28" s="17"/>
      <c r="FH28" s="240">
        <f t="shared" si="79"/>
        <v>0</v>
      </c>
      <c r="FI28" s="93"/>
      <c r="FJ28" s="15">
        <f t="shared" si="0"/>
        <v>0</v>
      </c>
      <c r="FK28" s="15"/>
      <c r="FL28" s="134">
        <f t="shared" si="44"/>
        <v>0</v>
      </c>
      <c r="FM28" s="27"/>
      <c r="FN28" s="17"/>
      <c r="FO28" s="17"/>
      <c r="FP28" s="17"/>
      <c r="FQ28" s="15">
        <f t="shared" si="45"/>
        <v>0</v>
      </c>
      <c r="FR28" s="15"/>
      <c r="FS28" s="15">
        <f t="shared" si="46"/>
        <v>0</v>
      </c>
      <c r="FT28" s="93"/>
      <c r="FU28" s="15">
        <f t="shared" si="47"/>
        <v>0</v>
      </c>
      <c r="FV28" s="15"/>
      <c r="FW28" s="134">
        <f t="shared" si="64"/>
        <v>0</v>
      </c>
      <c r="FX28" s="37"/>
      <c r="FY28" s="15">
        <f t="shared" si="49"/>
        <v>0</v>
      </c>
      <c r="FZ28" s="15"/>
      <c r="GA28" s="16">
        <f t="shared" si="50"/>
        <v>0</v>
      </c>
      <c r="GB28" s="37"/>
      <c r="GC28" s="16"/>
      <c r="GD28" s="161"/>
      <c r="GE28" s="134"/>
      <c r="GF28" s="37"/>
      <c r="GG28" s="15">
        <f t="shared" si="51"/>
        <v>0</v>
      </c>
      <c r="GH28" s="15"/>
      <c r="GI28" s="16">
        <f t="shared" si="59"/>
        <v>0</v>
      </c>
      <c r="GJ28" s="161"/>
      <c r="GK28" s="134">
        <f t="shared" si="52"/>
        <v>0</v>
      </c>
      <c r="GL28" s="37"/>
      <c r="GM28" s="16"/>
      <c r="GN28" s="397">
        <f t="shared" si="80"/>
        <v>122070100</v>
      </c>
      <c r="GO28" s="113">
        <v>4687</v>
      </c>
      <c r="GP28" s="113"/>
      <c r="GQ28" s="113">
        <v>126757</v>
      </c>
      <c r="GR28" s="113">
        <f t="shared" si="75"/>
        <v>0</v>
      </c>
      <c r="GS28" s="113">
        <f t="shared" si="53"/>
        <v>126757</v>
      </c>
      <c r="GT28" s="113">
        <f t="shared" si="76"/>
        <v>2314</v>
      </c>
      <c r="GU28" s="113">
        <f t="shared" si="54"/>
        <v>129071</v>
      </c>
      <c r="GV28" s="113">
        <f t="shared" si="77"/>
        <v>0</v>
      </c>
      <c r="GW28" s="113">
        <f t="shared" si="55"/>
        <v>129071</v>
      </c>
      <c r="GX28" s="380">
        <f t="shared" si="78"/>
        <v>21800</v>
      </c>
      <c r="GY28" s="381">
        <f t="shared" si="57"/>
        <v>150871</v>
      </c>
    </row>
    <row r="29" spans="1:207" x14ac:dyDescent="0.2">
      <c r="A29" s="21" t="s">
        <v>21</v>
      </c>
      <c r="B29" s="65" t="s">
        <v>50</v>
      </c>
      <c r="C29" s="44">
        <v>0</v>
      </c>
      <c r="D29" s="15"/>
      <c r="E29" s="15"/>
      <c r="F29" s="15"/>
      <c r="G29" s="15"/>
      <c r="H29" s="15">
        <f t="shared" si="4"/>
        <v>0</v>
      </c>
      <c r="I29" s="15"/>
      <c r="J29" s="15">
        <f t="shared" si="5"/>
        <v>0</v>
      </c>
      <c r="K29" s="15"/>
      <c r="L29" s="15">
        <f t="shared" si="6"/>
        <v>0</v>
      </c>
      <c r="M29" s="15"/>
      <c r="N29" s="134">
        <f t="shared" si="7"/>
        <v>0</v>
      </c>
      <c r="O29" s="44">
        <v>0</v>
      </c>
      <c r="P29" s="15"/>
      <c r="Q29" s="15"/>
      <c r="R29" s="15"/>
      <c r="S29" s="15">
        <f t="shared" si="8"/>
        <v>0</v>
      </c>
      <c r="T29" s="15"/>
      <c r="U29" s="15">
        <f t="shared" si="9"/>
        <v>0</v>
      </c>
      <c r="V29" s="15"/>
      <c r="W29" s="15">
        <f t="shared" si="10"/>
        <v>0</v>
      </c>
      <c r="X29" s="15">
        <v>2500</v>
      </c>
      <c r="Y29" s="134">
        <f t="shared" si="11"/>
        <v>2500</v>
      </c>
      <c r="Z29" s="44">
        <v>0</v>
      </c>
      <c r="AA29" s="15"/>
      <c r="AB29" s="15"/>
      <c r="AC29" s="15"/>
      <c r="AD29" s="15">
        <f t="shared" si="12"/>
        <v>0</v>
      </c>
      <c r="AE29" s="15"/>
      <c r="AF29" s="134">
        <f t="shared" si="13"/>
        <v>0</v>
      </c>
      <c r="AG29" s="44">
        <v>0</v>
      </c>
      <c r="AH29" s="15"/>
      <c r="AI29" s="15"/>
      <c r="AJ29" s="15"/>
      <c r="AK29" s="15">
        <f t="shared" si="14"/>
        <v>0</v>
      </c>
      <c r="AL29" s="15"/>
      <c r="AM29" s="16">
        <f t="shared" si="15"/>
        <v>0</v>
      </c>
      <c r="AN29" s="140">
        <v>0</v>
      </c>
      <c r="AO29" s="15"/>
      <c r="AP29" s="15"/>
      <c r="AQ29" s="15"/>
      <c r="AR29" s="134">
        <f t="shared" si="16"/>
        <v>0</v>
      </c>
      <c r="AS29" s="44">
        <v>0</v>
      </c>
      <c r="AT29" s="15"/>
      <c r="AU29" s="15"/>
      <c r="AV29" s="15"/>
      <c r="AW29" s="134">
        <f t="shared" si="17"/>
        <v>0</v>
      </c>
      <c r="AX29" s="44">
        <v>3119000</v>
      </c>
      <c r="AY29" s="15"/>
      <c r="AZ29" s="15"/>
      <c r="BA29" s="15">
        <v>3119</v>
      </c>
      <c r="BB29" s="15">
        <v>0</v>
      </c>
      <c r="BC29" s="15">
        <f t="shared" si="18"/>
        <v>3119</v>
      </c>
      <c r="BD29" s="15"/>
      <c r="BE29" s="15">
        <f t="shared" si="19"/>
        <v>3119</v>
      </c>
      <c r="BF29" s="15"/>
      <c r="BG29" s="16">
        <f t="shared" si="20"/>
        <v>3119</v>
      </c>
      <c r="BH29" s="140">
        <v>0</v>
      </c>
      <c r="BI29" s="15"/>
      <c r="BJ29" s="15"/>
      <c r="BK29" s="15"/>
      <c r="BL29" s="15">
        <f t="shared" si="21"/>
        <v>0</v>
      </c>
      <c r="BM29" s="15"/>
      <c r="BN29" s="16">
        <f t="shared" si="22"/>
        <v>0</v>
      </c>
      <c r="BO29" s="44">
        <v>0</v>
      </c>
      <c r="BP29" s="15"/>
      <c r="BQ29" s="15"/>
      <c r="BR29" s="15"/>
      <c r="BS29" s="134">
        <f t="shared" si="23"/>
        <v>0</v>
      </c>
      <c r="BT29" s="44">
        <v>0</v>
      </c>
      <c r="BU29" s="15"/>
      <c r="BV29" s="15"/>
      <c r="BW29" s="15"/>
      <c r="BX29" s="16">
        <f t="shared" si="24"/>
        <v>0</v>
      </c>
      <c r="BY29" s="140">
        <v>0</v>
      </c>
      <c r="BZ29" s="15"/>
      <c r="CA29" s="15"/>
      <c r="CB29" s="15"/>
      <c r="CC29" s="16">
        <f t="shared" si="25"/>
        <v>0</v>
      </c>
      <c r="CD29" s="140"/>
      <c r="CE29" s="15"/>
      <c r="CF29" s="134"/>
      <c r="CG29" s="44"/>
      <c r="CH29" s="15"/>
      <c r="CI29" s="15"/>
      <c r="CJ29" s="15"/>
      <c r="CK29" s="16">
        <f t="shared" si="26"/>
        <v>0</v>
      </c>
      <c r="CL29" s="140">
        <v>0</v>
      </c>
      <c r="CM29" s="15"/>
      <c r="CN29" s="134"/>
      <c r="CO29" s="44">
        <v>400000</v>
      </c>
      <c r="CP29" s="15"/>
      <c r="CQ29" s="15">
        <v>400</v>
      </c>
      <c r="CR29" s="15"/>
      <c r="CS29" s="15">
        <f t="shared" si="27"/>
        <v>400</v>
      </c>
      <c r="CT29" s="15"/>
      <c r="CU29" s="15">
        <f t="shared" si="28"/>
        <v>400</v>
      </c>
      <c r="CV29" s="15"/>
      <c r="CW29" s="16">
        <f t="shared" si="29"/>
        <v>400</v>
      </c>
      <c r="CX29" s="140">
        <v>0</v>
      </c>
      <c r="CY29" s="15"/>
      <c r="CZ29" s="15"/>
      <c r="DA29" s="15"/>
      <c r="DB29" s="16">
        <f t="shared" si="30"/>
        <v>0</v>
      </c>
      <c r="DC29" s="140">
        <v>0</v>
      </c>
      <c r="DD29" s="15"/>
      <c r="DE29" s="15"/>
      <c r="DF29" s="15"/>
      <c r="DG29" s="15">
        <f t="shared" si="31"/>
        <v>0</v>
      </c>
      <c r="DH29" s="15"/>
      <c r="DI29" s="15">
        <f t="shared" si="32"/>
        <v>0</v>
      </c>
      <c r="DJ29" s="15"/>
      <c r="DK29" s="15">
        <f t="shared" si="33"/>
        <v>0</v>
      </c>
      <c r="DL29" s="15"/>
      <c r="DM29" s="134">
        <f t="shared" si="34"/>
        <v>0</v>
      </c>
      <c r="DN29" s="44">
        <v>0</v>
      </c>
      <c r="DO29" s="15"/>
      <c r="DP29" s="15"/>
      <c r="DQ29" s="15"/>
      <c r="DR29" s="15"/>
      <c r="DS29" s="15"/>
      <c r="DT29" s="15">
        <f t="shared" si="35"/>
        <v>0</v>
      </c>
      <c r="DU29" s="15"/>
      <c r="DV29" s="15"/>
      <c r="DW29" s="15"/>
      <c r="DX29" s="15"/>
      <c r="DY29" s="15"/>
      <c r="DZ29" s="134">
        <f t="shared" si="37"/>
        <v>0</v>
      </c>
      <c r="EA29" s="44">
        <v>0</v>
      </c>
      <c r="EB29" s="15"/>
      <c r="EC29" s="15"/>
      <c r="ED29" s="15"/>
      <c r="EE29" s="134">
        <f t="shared" si="38"/>
        <v>0</v>
      </c>
      <c r="EF29" s="44"/>
      <c r="EG29" s="15"/>
      <c r="EH29" s="15"/>
      <c r="EI29" s="15"/>
      <c r="EJ29" s="16">
        <f t="shared" si="39"/>
        <v>0</v>
      </c>
      <c r="EK29" s="140">
        <v>0</v>
      </c>
      <c r="EL29" s="15"/>
      <c r="EM29" s="15"/>
      <c r="EN29" s="15"/>
      <c r="EO29" s="15">
        <f t="shared" si="40"/>
        <v>0</v>
      </c>
      <c r="EP29" s="15"/>
      <c r="EQ29" s="15">
        <f t="shared" si="41"/>
        <v>0</v>
      </c>
      <c r="ER29" s="15"/>
      <c r="ES29" s="16">
        <f t="shared" si="42"/>
        <v>0</v>
      </c>
      <c r="ET29" s="140"/>
      <c r="EU29" s="15"/>
      <c r="EV29" s="15"/>
      <c r="EW29" s="52"/>
      <c r="EX29" s="15"/>
      <c r="EY29" s="15"/>
      <c r="EZ29" s="52"/>
      <c r="FA29" s="15"/>
      <c r="FB29" s="15"/>
      <c r="FC29" s="15"/>
      <c r="FD29" s="134">
        <f t="shared" si="43"/>
        <v>0</v>
      </c>
      <c r="FE29" s="37"/>
      <c r="FF29" s="15"/>
      <c r="FG29" s="15"/>
      <c r="FH29" s="240">
        <f t="shared" si="79"/>
        <v>0</v>
      </c>
      <c r="FI29" s="161"/>
      <c r="FJ29" s="15">
        <f t="shared" si="0"/>
        <v>0</v>
      </c>
      <c r="FK29" s="15"/>
      <c r="FL29" s="134">
        <f t="shared" si="44"/>
        <v>0</v>
      </c>
      <c r="FM29" s="52"/>
      <c r="FN29" s="15"/>
      <c r="FO29" s="15"/>
      <c r="FP29" s="15"/>
      <c r="FQ29" s="15">
        <f t="shared" si="45"/>
        <v>0</v>
      </c>
      <c r="FR29" s="15"/>
      <c r="FS29" s="15">
        <f t="shared" si="46"/>
        <v>0</v>
      </c>
      <c r="FT29" s="161"/>
      <c r="FU29" s="15">
        <f t="shared" si="47"/>
        <v>0</v>
      </c>
      <c r="FV29" s="15"/>
      <c r="FW29" s="134">
        <f t="shared" si="64"/>
        <v>0</v>
      </c>
      <c r="FX29" s="37"/>
      <c r="FY29" s="15">
        <f t="shared" si="49"/>
        <v>0</v>
      </c>
      <c r="FZ29" s="15"/>
      <c r="GA29" s="16">
        <f t="shared" si="50"/>
        <v>0</v>
      </c>
      <c r="GB29" s="37"/>
      <c r="GC29" s="16"/>
      <c r="GD29" s="161"/>
      <c r="GE29" s="134"/>
      <c r="GF29" s="37"/>
      <c r="GG29" s="15">
        <f t="shared" si="51"/>
        <v>0</v>
      </c>
      <c r="GH29" s="15"/>
      <c r="GI29" s="16">
        <f t="shared" si="59"/>
        <v>0</v>
      </c>
      <c r="GJ29" s="161"/>
      <c r="GK29" s="134">
        <f t="shared" si="52"/>
        <v>0</v>
      </c>
      <c r="GL29" s="37"/>
      <c r="GM29" s="16"/>
      <c r="GN29" s="397">
        <f t="shared" si="80"/>
        <v>3519000</v>
      </c>
      <c r="GO29" s="113">
        <f t="shared" si="74"/>
        <v>0</v>
      </c>
      <c r="GP29" s="113"/>
      <c r="GQ29" s="113">
        <v>3519</v>
      </c>
      <c r="GR29" s="113">
        <f t="shared" si="75"/>
        <v>0</v>
      </c>
      <c r="GS29" s="113">
        <f t="shared" si="53"/>
        <v>3519</v>
      </c>
      <c r="GT29" s="113">
        <f t="shared" si="76"/>
        <v>0</v>
      </c>
      <c r="GU29" s="113">
        <f t="shared" si="54"/>
        <v>3519</v>
      </c>
      <c r="GV29" s="113">
        <f t="shared" si="77"/>
        <v>0</v>
      </c>
      <c r="GW29" s="113">
        <f t="shared" si="55"/>
        <v>3519</v>
      </c>
      <c r="GX29" s="380">
        <f t="shared" si="78"/>
        <v>2500</v>
      </c>
      <c r="GY29" s="381">
        <f t="shared" si="57"/>
        <v>6019</v>
      </c>
    </row>
    <row r="30" spans="1:207" s="7" customFormat="1" x14ac:dyDescent="0.2">
      <c r="A30" s="20" t="s">
        <v>22</v>
      </c>
      <c r="B30" s="68" t="s">
        <v>51</v>
      </c>
      <c r="C30" s="60">
        <f>C25+C27+C28+C29</f>
        <v>33014000</v>
      </c>
      <c r="D30" s="38">
        <f t="shared" ref="D30:EU30" si="81">D25+D27+D28+D29</f>
        <v>0</v>
      </c>
      <c r="E30" s="38"/>
      <c r="F30" s="38">
        <f t="shared" si="81"/>
        <v>33014</v>
      </c>
      <c r="G30" s="38">
        <v>34124</v>
      </c>
      <c r="H30" s="15">
        <f t="shared" si="4"/>
        <v>67138</v>
      </c>
      <c r="I30" s="15">
        <v>-2300</v>
      </c>
      <c r="J30" s="15">
        <f t="shared" si="5"/>
        <v>64838</v>
      </c>
      <c r="K30" s="15"/>
      <c r="L30" s="15">
        <f t="shared" si="6"/>
        <v>64838</v>
      </c>
      <c r="M30" s="15">
        <f>M27+M28</f>
        <v>2213</v>
      </c>
      <c r="N30" s="134">
        <f t="shared" si="7"/>
        <v>67051</v>
      </c>
      <c r="O30" s="60">
        <f t="shared" si="81"/>
        <v>60517000</v>
      </c>
      <c r="P30" s="38">
        <f t="shared" si="81"/>
        <v>4687</v>
      </c>
      <c r="Q30" s="38">
        <f t="shared" si="81"/>
        <v>65204</v>
      </c>
      <c r="R30" s="38"/>
      <c r="S30" s="15">
        <f t="shared" si="8"/>
        <v>65204</v>
      </c>
      <c r="T30" s="15"/>
      <c r="U30" s="15">
        <f t="shared" si="9"/>
        <v>65204</v>
      </c>
      <c r="V30" s="15"/>
      <c r="W30" s="15">
        <f t="shared" si="10"/>
        <v>65204</v>
      </c>
      <c r="X30" s="15">
        <f>SUM(X28:X29)</f>
        <v>18150</v>
      </c>
      <c r="Y30" s="134">
        <f t="shared" si="11"/>
        <v>83354</v>
      </c>
      <c r="Z30" s="60">
        <f t="shared" si="81"/>
        <v>0</v>
      </c>
      <c r="AA30" s="38">
        <f t="shared" si="81"/>
        <v>0</v>
      </c>
      <c r="AB30" s="38">
        <f t="shared" si="81"/>
        <v>0</v>
      </c>
      <c r="AC30" s="38"/>
      <c r="AD30" s="15">
        <f t="shared" si="12"/>
        <v>0</v>
      </c>
      <c r="AE30" s="15"/>
      <c r="AF30" s="134">
        <f t="shared" si="13"/>
        <v>0</v>
      </c>
      <c r="AG30" s="60">
        <f t="shared" si="81"/>
        <v>315004280</v>
      </c>
      <c r="AH30" s="38">
        <f t="shared" si="81"/>
        <v>0</v>
      </c>
      <c r="AI30" s="38">
        <f t="shared" si="81"/>
        <v>315004</v>
      </c>
      <c r="AJ30" s="38">
        <v>12082</v>
      </c>
      <c r="AK30" s="15">
        <f t="shared" si="14"/>
        <v>327086</v>
      </c>
      <c r="AL30" s="15">
        <v>54094</v>
      </c>
      <c r="AM30" s="16">
        <f t="shared" si="15"/>
        <v>381180</v>
      </c>
      <c r="AN30" s="139">
        <f t="shared" si="81"/>
        <v>0</v>
      </c>
      <c r="AO30" s="38">
        <f t="shared" si="81"/>
        <v>0</v>
      </c>
      <c r="AP30" s="38">
        <f t="shared" si="81"/>
        <v>0</v>
      </c>
      <c r="AQ30" s="38"/>
      <c r="AR30" s="134">
        <f t="shared" si="16"/>
        <v>0</v>
      </c>
      <c r="AS30" s="60">
        <f t="shared" si="81"/>
        <v>0</v>
      </c>
      <c r="AT30" s="38">
        <f t="shared" si="81"/>
        <v>0</v>
      </c>
      <c r="AU30" s="38">
        <f t="shared" si="81"/>
        <v>0</v>
      </c>
      <c r="AV30" s="38"/>
      <c r="AW30" s="134">
        <f t="shared" si="17"/>
        <v>0</v>
      </c>
      <c r="AX30" s="60">
        <f t="shared" si="81"/>
        <v>10719000</v>
      </c>
      <c r="AY30" s="38">
        <f t="shared" si="81"/>
        <v>0</v>
      </c>
      <c r="AZ30" s="38"/>
      <c r="BA30" s="38">
        <f t="shared" si="81"/>
        <v>10719</v>
      </c>
      <c r="BB30" s="38">
        <v>1062</v>
      </c>
      <c r="BC30" s="15">
        <f t="shared" si="18"/>
        <v>11781</v>
      </c>
      <c r="BD30" s="15">
        <v>2623</v>
      </c>
      <c r="BE30" s="15">
        <f t="shared" si="19"/>
        <v>14404</v>
      </c>
      <c r="BF30" s="15">
        <v>1735</v>
      </c>
      <c r="BG30" s="16">
        <f t="shared" si="20"/>
        <v>16139</v>
      </c>
      <c r="BH30" s="139">
        <f t="shared" si="81"/>
        <v>0</v>
      </c>
      <c r="BI30" s="38">
        <f t="shared" si="81"/>
        <v>0</v>
      </c>
      <c r="BJ30" s="38">
        <f t="shared" si="81"/>
        <v>0</v>
      </c>
      <c r="BK30" s="38">
        <v>3745</v>
      </c>
      <c r="BL30" s="15">
        <f t="shared" si="21"/>
        <v>3745</v>
      </c>
      <c r="BM30" s="15"/>
      <c r="BN30" s="16">
        <f t="shared" si="22"/>
        <v>3745</v>
      </c>
      <c r="BO30" s="60">
        <f t="shared" si="81"/>
        <v>0</v>
      </c>
      <c r="BP30" s="38">
        <f t="shared" si="81"/>
        <v>0</v>
      </c>
      <c r="BQ30" s="38">
        <f t="shared" si="81"/>
        <v>0</v>
      </c>
      <c r="BR30" s="38"/>
      <c r="BS30" s="134">
        <f t="shared" si="23"/>
        <v>0</v>
      </c>
      <c r="BT30" s="60">
        <f t="shared" si="81"/>
        <v>0</v>
      </c>
      <c r="BU30" s="38">
        <f t="shared" si="81"/>
        <v>0</v>
      </c>
      <c r="BV30" s="38">
        <f t="shared" si="81"/>
        <v>0</v>
      </c>
      <c r="BW30" s="38"/>
      <c r="BX30" s="16">
        <f t="shared" si="24"/>
        <v>0</v>
      </c>
      <c r="BY30" s="139">
        <f t="shared" si="81"/>
        <v>26162000</v>
      </c>
      <c r="BZ30" s="38">
        <f t="shared" si="81"/>
        <v>0</v>
      </c>
      <c r="CA30" s="38">
        <f t="shared" si="81"/>
        <v>26162</v>
      </c>
      <c r="CB30" s="38">
        <v>356</v>
      </c>
      <c r="CC30" s="16">
        <f t="shared" si="25"/>
        <v>26518</v>
      </c>
      <c r="CD30" s="139">
        <f t="shared" si="81"/>
        <v>0</v>
      </c>
      <c r="CE30" s="38">
        <f t="shared" si="81"/>
        <v>0</v>
      </c>
      <c r="CF30" s="136">
        <f t="shared" si="81"/>
        <v>0</v>
      </c>
      <c r="CG30" s="60">
        <f t="shared" si="81"/>
        <v>927100</v>
      </c>
      <c r="CH30" s="38">
        <f t="shared" si="81"/>
        <v>0</v>
      </c>
      <c r="CI30" s="38">
        <f t="shared" si="81"/>
        <v>927</v>
      </c>
      <c r="CJ30" s="38">
        <v>272</v>
      </c>
      <c r="CK30" s="16">
        <f t="shared" si="26"/>
        <v>1199</v>
      </c>
      <c r="CL30" s="139">
        <f t="shared" si="81"/>
        <v>0</v>
      </c>
      <c r="CM30" s="38">
        <f t="shared" si="81"/>
        <v>0</v>
      </c>
      <c r="CN30" s="136">
        <f t="shared" si="81"/>
        <v>0</v>
      </c>
      <c r="CO30" s="60">
        <f t="shared" si="81"/>
        <v>400000</v>
      </c>
      <c r="CP30" s="38">
        <f t="shared" si="81"/>
        <v>0</v>
      </c>
      <c r="CQ30" s="38">
        <f t="shared" si="81"/>
        <v>400</v>
      </c>
      <c r="CR30" s="38"/>
      <c r="CS30" s="15">
        <f t="shared" si="27"/>
        <v>400</v>
      </c>
      <c r="CT30" s="15">
        <v>14</v>
      </c>
      <c r="CU30" s="15">
        <f t="shared" si="28"/>
        <v>414</v>
      </c>
      <c r="CV30" s="15">
        <v>9</v>
      </c>
      <c r="CW30" s="16">
        <f t="shared" si="29"/>
        <v>423</v>
      </c>
      <c r="CX30" s="139">
        <f t="shared" si="81"/>
        <v>0</v>
      </c>
      <c r="CY30" s="38">
        <f t="shared" si="81"/>
        <v>0</v>
      </c>
      <c r="CZ30" s="38">
        <f t="shared" si="81"/>
        <v>0</v>
      </c>
      <c r="DA30" s="38"/>
      <c r="DB30" s="16">
        <f t="shared" si="30"/>
        <v>0</v>
      </c>
      <c r="DC30" s="139">
        <f t="shared" si="81"/>
        <v>966861275</v>
      </c>
      <c r="DD30" s="38">
        <f t="shared" si="81"/>
        <v>4742</v>
      </c>
      <c r="DE30" s="38">
        <f t="shared" si="81"/>
        <v>971603</v>
      </c>
      <c r="DF30" s="38">
        <v>13983</v>
      </c>
      <c r="DG30" s="15">
        <f t="shared" si="31"/>
        <v>985586</v>
      </c>
      <c r="DH30" s="15">
        <f>DH25+DH28</f>
        <v>11764</v>
      </c>
      <c r="DI30" s="15">
        <f t="shared" si="32"/>
        <v>997350</v>
      </c>
      <c r="DJ30" s="15">
        <v>778</v>
      </c>
      <c r="DK30" s="15">
        <f t="shared" si="33"/>
        <v>998128</v>
      </c>
      <c r="DL30" s="15">
        <v>8753</v>
      </c>
      <c r="DM30" s="134">
        <f t="shared" si="34"/>
        <v>1006881</v>
      </c>
      <c r="DN30" s="60">
        <f t="shared" si="81"/>
        <v>0</v>
      </c>
      <c r="DO30" s="38">
        <f t="shared" si="81"/>
        <v>0</v>
      </c>
      <c r="DP30" s="38">
        <f t="shared" si="81"/>
        <v>0</v>
      </c>
      <c r="DQ30" s="38"/>
      <c r="DR30" s="38"/>
      <c r="DS30" s="38"/>
      <c r="DT30" s="15">
        <f t="shared" si="35"/>
        <v>0</v>
      </c>
      <c r="DU30" s="15"/>
      <c r="DV30" s="15"/>
      <c r="DW30" s="15"/>
      <c r="DX30" s="15"/>
      <c r="DY30" s="15"/>
      <c r="DZ30" s="134">
        <f t="shared" si="37"/>
        <v>0</v>
      </c>
      <c r="EA30" s="60">
        <f t="shared" si="81"/>
        <v>1700000</v>
      </c>
      <c r="EB30" s="38">
        <f t="shared" si="81"/>
        <v>500</v>
      </c>
      <c r="EC30" s="38">
        <f t="shared" si="81"/>
        <v>2200</v>
      </c>
      <c r="ED30" s="38">
        <v>3600</v>
      </c>
      <c r="EE30" s="134">
        <f t="shared" si="38"/>
        <v>5800</v>
      </c>
      <c r="EF30" s="60">
        <f t="shared" si="81"/>
        <v>0</v>
      </c>
      <c r="EG30" s="38">
        <f t="shared" si="81"/>
        <v>0</v>
      </c>
      <c r="EH30" s="38">
        <f t="shared" si="81"/>
        <v>0</v>
      </c>
      <c r="EI30" s="38"/>
      <c r="EJ30" s="16">
        <f t="shared" si="39"/>
        <v>0</v>
      </c>
      <c r="EK30" s="139">
        <f t="shared" si="81"/>
        <v>8800000</v>
      </c>
      <c r="EL30" s="38">
        <f t="shared" si="81"/>
        <v>63</v>
      </c>
      <c r="EM30" s="38">
        <f t="shared" si="81"/>
        <v>8863</v>
      </c>
      <c r="EN30" s="38">
        <v>25</v>
      </c>
      <c r="EO30" s="15">
        <f t="shared" si="40"/>
        <v>8888</v>
      </c>
      <c r="EP30" s="15">
        <v>54</v>
      </c>
      <c r="EQ30" s="15">
        <f t="shared" si="41"/>
        <v>8942</v>
      </c>
      <c r="ER30" s="15">
        <v>42</v>
      </c>
      <c r="ES30" s="16">
        <f t="shared" si="42"/>
        <v>8984</v>
      </c>
      <c r="ET30" s="139">
        <f t="shared" si="81"/>
        <v>0</v>
      </c>
      <c r="EU30" s="38">
        <f t="shared" si="81"/>
        <v>0</v>
      </c>
      <c r="EV30" s="38">
        <f t="shared" ref="EV30:FN30" si="82">EV25+EV27+EV28+EV29</f>
        <v>0</v>
      </c>
      <c r="EW30" s="51">
        <f t="shared" si="82"/>
        <v>0</v>
      </c>
      <c r="EX30" s="38">
        <f t="shared" si="82"/>
        <v>0</v>
      </c>
      <c r="EY30" s="38">
        <f t="shared" si="82"/>
        <v>0</v>
      </c>
      <c r="EZ30" s="51">
        <f t="shared" si="82"/>
        <v>0</v>
      </c>
      <c r="FA30" s="38">
        <f t="shared" si="82"/>
        <v>0</v>
      </c>
      <c r="FB30" s="38">
        <f t="shared" si="82"/>
        <v>0</v>
      </c>
      <c r="FC30" s="38"/>
      <c r="FD30" s="134">
        <f t="shared" si="43"/>
        <v>0</v>
      </c>
      <c r="FE30" s="61">
        <v>1162</v>
      </c>
      <c r="FF30" s="38">
        <v>1162</v>
      </c>
      <c r="FG30" s="38"/>
      <c r="FH30" s="240">
        <f t="shared" si="79"/>
        <v>1162</v>
      </c>
      <c r="FI30" s="160">
        <v>3401</v>
      </c>
      <c r="FJ30" s="15">
        <f t="shared" si="0"/>
        <v>3401</v>
      </c>
      <c r="FK30" s="15"/>
      <c r="FL30" s="134">
        <f t="shared" si="44"/>
        <v>3401</v>
      </c>
      <c r="FM30" s="51">
        <f>FM25+FM27+FM28+FM29</f>
        <v>0</v>
      </c>
      <c r="FN30" s="38">
        <f t="shared" si="82"/>
        <v>0</v>
      </c>
      <c r="FO30" s="38">
        <f>FO25+FO27+FO28+FO29</f>
        <v>0</v>
      </c>
      <c r="FP30" s="38"/>
      <c r="FQ30" s="15">
        <f t="shared" si="45"/>
        <v>0</v>
      </c>
      <c r="FR30" s="15"/>
      <c r="FS30" s="15">
        <f t="shared" si="46"/>
        <v>0</v>
      </c>
      <c r="FT30" s="160"/>
      <c r="FU30" s="15">
        <f t="shared" si="47"/>
        <v>0</v>
      </c>
      <c r="FV30" s="15"/>
      <c r="FW30" s="134">
        <f t="shared" si="64"/>
        <v>0</v>
      </c>
      <c r="FX30" s="37"/>
      <c r="FY30" s="15">
        <f t="shared" si="49"/>
        <v>0</v>
      </c>
      <c r="FZ30" s="15"/>
      <c r="GA30" s="16">
        <f t="shared" si="50"/>
        <v>0</v>
      </c>
      <c r="GB30" s="37"/>
      <c r="GC30" s="16"/>
      <c r="GD30" s="161"/>
      <c r="GE30" s="134"/>
      <c r="GF30" s="37"/>
      <c r="GG30" s="15">
        <f t="shared" si="51"/>
        <v>0</v>
      </c>
      <c r="GH30" s="15"/>
      <c r="GI30" s="16">
        <f t="shared" si="59"/>
        <v>0</v>
      </c>
      <c r="GJ30" s="161"/>
      <c r="GK30" s="134">
        <f t="shared" si="52"/>
        <v>0</v>
      </c>
      <c r="GL30" s="37"/>
      <c r="GM30" s="16"/>
      <c r="GN30" s="398">
        <f t="shared" si="80"/>
        <v>1424104655</v>
      </c>
      <c r="GO30" s="113">
        <f t="shared" si="74"/>
        <v>11154</v>
      </c>
      <c r="GP30" s="113"/>
      <c r="GQ30" s="163">
        <v>1434759</v>
      </c>
      <c r="GR30" s="113">
        <f>GR25</f>
        <v>55278</v>
      </c>
      <c r="GS30" s="113">
        <f t="shared" si="53"/>
        <v>1490037</v>
      </c>
      <c r="GT30" s="113">
        <f>GT25+GT28</f>
        <v>13379</v>
      </c>
      <c r="GU30" s="113">
        <f t="shared" si="54"/>
        <v>1503416</v>
      </c>
      <c r="GV30" s="113">
        <f t="shared" si="77"/>
        <v>15537</v>
      </c>
      <c r="GW30" s="113">
        <f t="shared" si="55"/>
        <v>1518953</v>
      </c>
      <c r="GX30" s="380">
        <f>GX25+GX27+GX28+GX29</f>
        <v>89224</v>
      </c>
      <c r="GY30" s="381">
        <f t="shared" si="57"/>
        <v>1608177</v>
      </c>
    </row>
    <row r="31" spans="1:207" x14ac:dyDescent="0.2">
      <c r="A31" s="21" t="s">
        <v>23</v>
      </c>
      <c r="B31" s="65" t="s">
        <v>80</v>
      </c>
      <c r="C31" s="44">
        <v>0</v>
      </c>
      <c r="D31" s="15"/>
      <c r="E31" s="15"/>
      <c r="F31" s="15"/>
      <c r="G31" s="15"/>
      <c r="H31" s="15">
        <f t="shared" si="4"/>
        <v>0</v>
      </c>
      <c r="I31" s="15"/>
      <c r="J31" s="15">
        <f t="shared" si="5"/>
        <v>0</v>
      </c>
      <c r="K31" s="15"/>
      <c r="L31" s="15">
        <f t="shared" si="6"/>
        <v>0</v>
      </c>
      <c r="M31" s="15"/>
      <c r="N31" s="134">
        <f t="shared" si="7"/>
        <v>0</v>
      </c>
      <c r="O31" s="44"/>
      <c r="P31" s="15"/>
      <c r="Q31" s="15"/>
      <c r="R31" s="15"/>
      <c r="S31" s="15">
        <f t="shared" si="8"/>
        <v>0</v>
      </c>
      <c r="T31" s="15"/>
      <c r="U31" s="15">
        <f t="shared" si="9"/>
        <v>0</v>
      </c>
      <c r="V31" s="15"/>
      <c r="W31" s="15">
        <f t="shared" si="10"/>
        <v>0</v>
      </c>
      <c r="X31" s="15"/>
      <c r="Y31" s="134">
        <f t="shared" si="11"/>
        <v>0</v>
      </c>
      <c r="Z31" s="44">
        <v>0</v>
      </c>
      <c r="AA31" s="15"/>
      <c r="AB31" s="15"/>
      <c r="AC31" s="15"/>
      <c r="AD31" s="15">
        <f t="shared" si="12"/>
        <v>0</v>
      </c>
      <c r="AE31" s="15"/>
      <c r="AF31" s="134">
        <f t="shared" si="13"/>
        <v>0</v>
      </c>
      <c r="AG31" s="44">
        <v>0</v>
      </c>
      <c r="AH31" s="15"/>
      <c r="AI31" s="15"/>
      <c r="AJ31" s="15"/>
      <c r="AK31" s="15">
        <f t="shared" si="14"/>
        <v>0</v>
      </c>
      <c r="AL31" s="15"/>
      <c r="AM31" s="16">
        <f t="shared" si="15"/>
        <v>0</v>
      </c>
      <c r="AN31" s="140">
        <v>0</v>
      </c>
      <c r="AO31" s="15"/>
      <c r="AP31" s="15"/>
      <c r="AQ31" s="15"/>
      <c r="AR31" s="134">
        <f t="shared" si="16"/>
        <v>0</v>
      </c>
      <c r="AS31" s="44">
        <v>0</v>
      </c>
      <c r="AT31" s="15"/>
      <c r="AU31" s="15"/>
      <c r="AV31" s="15"/>
      <c r="AW31" s="134">
        <f t="shared" si="17"/>
        <v>0</v>
      </c>
      <c r="AX31" s="44">
        <v>0</v>
      </c>
      <c r="AY31" s="15"/>
      <c r="AZ31" s="15"/>
      <c r="BA31" s="15"/>
      <c r="BB31" s="15"/>
      <c r="BC31" s="15">
        <f t="shared" si="18"/>
        <v>0</v>
      </c>
      <c r="BD31" s="15"/>
      <c r="BE31" s="15">
        <f t="shared" si="19"/>
        <v>0</v>
      </c>
      <c r="BF31" s="15"/>
      <c r="BG31" s="16">
        <f t="shared" si="20"/>
        <v>0</v>
      </c>
      <c r="BH31" s="140">
        <v>0</v>
      </c>
      <c r="BI31" s="15"/>
      <c r="BJ31" s="15"/>
      <c r="BK31" s="15"/>
      <c r="BL31" s="15">
        <f t="shared" si="21"/>
        <v>0</v>
      </c>
      <c r="BM31" s="15"/>
      <c r="BN31" s="16">
        <f t="shared" si="22"/>
        <v>0</v>
      </c>
      <c r="BO31" s="44">
        <v>0</v>
      </c>
      <c r="BP31" s="15"/>
      <c r="BQ31" s="15"/>
      <c r="BR31" s="15"/>
      <c r="BS31" s="134">
        <f t="shared" si="23"/>
        <v>0</v>
      </c>
      <c r="BT31" s="44">
        <v>0</v>
      </c>
      <c r="BU31" s="15"/>
      <c r="BV31" s="15"/>
      <c r="BW31" s="15"/>
      <c r="BX31" s="16">
        <f t="shared" si="24"/>
        <v>0</v>
      </c>
      <c r="BY31" s="140">
        <v>0</v>
      </c>
      <c r="BZ31" s="15"/>
      <c r="CA31" s="15"/>
      <c r="CB31" s="15"/>
      <c r="CC31" s="16">
        <f t="shared" si="25"/>
        <v>0</v>
      </c>
      <c r="CD31" s="140">
        <v>0</v>
      </c>
      <c r="CE31" s="15"/>
      <c r="CF31" s="134"/>
      <c r="CG31" s="44">
        <v>0</v>
      </c>
      <c r="CH31" s="15"/>
      <c r="CI31" s="15"/>
      <c r="CJ31" s="15"/>
      <c r="CK31" s="16">
        <f t="shared" si="26"/>
        <v>0</v>
      </c>
      <c r="CL31" s="140">
        <v>0</v>
      </c>
      <c r="CM31" s="15"/>
      <c r="CN31" s="134"/>
      <c r="CO31" s="44">
        <v>0</v>
      </c>
      <c r="CP31" s="15"/>
      <c r="CQ31" s="15"/>
      <c r="CR31" s="15"/>
      <c r="CS31" s="15">
        <f t="shared" si="27"/>
        <v>0</v>
      </c>
      <c r="CT31" s="15"/>
      <c r="CU31" s="15">
        <f t="shared" si="28"/>
        <v>0</v>
      </c>
      <c r="CV31" s="15"/>
      <c r="CW31" s="16">
        <f t="shared" si="29"/>
        <v>0</v>
      </c>
      <c r="CX31" s="140">
        <v>0</v>
      </c>
      <c r="CY31" s="15"/>
      <c r="CZ31" s="15"/>
      <c r="DA31" s="15"/>
      <c r="DB31" s="16">
        <f t="shared" si="30"/>
        <v>0</v>
      </c>
      <c r="DC31" s="140">
        <v>0</v>
      </c>
      <c r="DD31" s="15"/>
      <c r="DE31" s="15"/>
      <c r="DF31" s="15"/>
      <c r="DG31" s="15">
        <f t="shared" si="31"/>
        <v>0</v>
      </c>
      <c r="DH31" s="15">
        <v>3154</v>
      </c>
      <c r="DI31" s="15">
        <f t="shared" si="32"/>
        <v>3154</v>
      </c>
      <c r="DJ31" s="15"/>
      <c r="DK31" s="15">
        <f t="shared" si="33"/>
        <v>3154</v>
      </c>
      <c r="DL31" s="15">
        <v>30000</v>
      </c>
      <c r="DM31" s="134">
        <f t="shared" si="34"/>
        <v>33154</v>
      </c>
      <c r="DN31" s="44">
        <v>0</v>
      </c>
      <c r="DO31" s="15"/>
      <c r="DP31" s="15"/>
      <c r="DQ31" s="15"/>
      <c r="DR31" s="15"/>
      <c r="DS31" s="15"/>
      <c r="DT31" s="15">
        <f t="shared" si="35"/>
        <v>0</v>
      </c>
      <c r="DU31" s="15"/>
      <c r="DV31" s="15"/>
      <c r="DW31" s="15"/>
      <c r="DX31" s="15"/>
      <c r="DY31" s="15"/>
      <c r="DZ31" s="134">
        <f t="shared" si="37"/>
        <v>0</v>
      </c>
      <c r="EA31" s="44">
        <v>0</v>
      </c>
      <c r="EB31" s="15"/>
      <c r="EC31" s="15"/>
      <c r="ED31" s="15"/>
      <c r="EE31" s="134">
        <f t="shared" si="38"/>
        <v>0</v>
      </c>
      <c r="EF31" s="44"/>
      <c r="EG31" s="15"/>
      <c r="EH31" s="15"/>
      <c r="EI31" s="15"/>
      <c r="EJ31" s="16">
        <f t="shared" si="39"/>
        <v>0</v>
      </c>
      <c r="EK31" s="140">
        <v>0</v>
      </c>
      <c r="EL31" s="15"/>
      <c r="EM31" s="15"/>
      <c r="EN31" s="15"/>
      <c r="EO31" s="15">
        <f t="shared" si="40"/>
        <v>0</v>
      </c>
      <c r="EP31" s="15"/>
      <c r="EQ31" s="15">
        <f t="shared" si="41"/>
        <v>0</v>
      </c>
      <c r="ER31" s="15"/>
      <c r="ES31" s="16">
        <f t="shared" si="42"/>
        <v>0</v>
      </c>
      <c r="ET31" s="140"/>
      <c r="EU31" s="15"/>
      <c r="EV31" s="15"/>
      <c r="EW31" s="52"/>
      <c r="EX31" s="15"/>
      <c r="EY31" s="15"/>
      <c r="EZ31" s="52"/>
      <c r="FA31" s="15"/>
      <c r="FB31" s="15"/>
      <c r="FC31" s="15"/>
      <c r="FD31" s="134">
        <f t="shared" si="43"/>
        <v>0</v>
      </c>
      <c r="FE31" s="37">
        <v>18240</v>
      </c>
      <c r="FF31" s="15">
        <v>18240</v>
      </c>
      <c r="FG31" s="15"/>
      <c r="FH31" s="240">
        <f t="shared" si="79"/>
        <v>18240</v>
      </c>
      <c r="FI31" s="161">
        <v>37159</v>
      </c>
      <c r="FJ31" s="15">
        <f t="shared" si="0"/>
        <v>37159</v>
      </c>
      <c r="FK31" s="15"/>
      <c r="FL31" s="134">
        <f t="shared" si="44"/>
        <v>37159</v>
      </c>
      <c r="FM31" s="52"/>
      <c r="FN31" s="15"/>
      <c r="FO31" s="15"/>
      <c r="FP31" s="15"/>
      <c r="FQ31" s="15">
        <f t="shared" si="45"/>
        <v>0</v>
      </c>
      <c r="FR31" s="15"/>
      <c r="FS31" s="15">
        <f t="shared" si="46"/>
        <v>0</v>
      </c>
      <c r="FT31" s="161">
        <v>53934</v>
      </c>
      <c r="FU31" s="15">
        <f t="shared" si="47"/>
        <v>53934</v>
      </c>
      <c r="FV31" s="15"/>
      <c r="FW31" s="134">
        <f t="shared" si="64"/>
        <v>53934</v>
      </c>
      <c r="FX31" s="37"/>
      <c r="FY31" s="15">
        <f t="shared" si="49"/>
        <v>0</v>
      </c>
      <c r="FZ31" s="15"/>
      <c r="GA31" s="16">
        <f t="shared" si="50"/>
        <v>0</v>
      </c>
      <c r="GB31" s="37"/>
      <c r="GC31" s="16"/>
      <c r="GD31" s="161"/>
      <c r="GE31" s="134"/>
      <c r="GF31" s="37"/>
      <c r="GG31" s="15">
        <f t="shared" si="51"/>
        <v>0</v>
      </c>
      <c r="GH31" s="15"/>
      <c r="GI31" s="16">
        <f t="shared" si="59"/>
        <v>0</v>
      </c>
      <c r="GJ31" s="161">
        <v>10000</v>
      </c>
      <c r="GK31" s="134">
        <f t="shared" si="52"/>
        <v>10000</v>
      </c>
      <c r="GL31" s="37"/>
      <c r="GM31" s="16"/>
      <c r="GN31" s="397">
        <f t="shared" si="80"/>
        <v>0</v>
      </c>
      <c r="GO31" s="113">
        <f t="shared" si="74"/>
        <v>18240</v>
      </c>
      <c r="GP31" s="113"/>
      <c r="GQ31" s="113">
        <v>18240</v>
      </c>
      <c r="GR31" s="113">
        <f t="shared" ref="GR31:GR39" si="83">G31+R31+BK31+DF31+DS31+EN31+FC31+FI31</f>
        <v>37159</v>
      </c>
      <c r="GS31" s="113">
        <f t="shared" si="53"/>
        <v>55399</v>
      </c>
      <c r="GT31" s="113">
        <f t="shared" ref="GT31:GT39" si="84">I31+T31+AA31+AT31+BB31+BP31+BZ31+CH31+CT31+CY31+DH31+EB31+EU31+FP31+FT31+FX31+GF31</f>
        <v>57088</v>
      </c>
      <c r="GU31" s="113">
        <f t="shared" si="54"/>
        <v>112487</v>
      </c>
      <c r="GV31" s="113">
        <f t="shared" si="77"/>
        <v>0</v>
      </c>
      <c r="GW31" s="113">
        <f t="shared" si="55"/>
        <v>112487</v>
      </c>
      <c r="GX31" s="380">
        <f t="shared" si="78"/>
        <v>40000</v>
      </c>
      <c r="GY31" s="381">
        <f t="shared" si="57"/>
        <v>152487</v>
      </c>
    </row>
    <row r="32" spans="1:207" x14ac:dyDescent="0.2">
      <c r="A32" s="21" t="s">
        <v>24</v>
      </c>
      <c r="B32" s="65" t="s">
        <v>52</v>
      </c>
      <c r="C32" s="44">
        <v>0</v>
      </c>
      <c r="D32" s="15"/>
      <c r="E32" s="15"/>
      <c r="F32" s="15"/>
      <c r="G32" s="15"/>
      <c r="H32" s="15">
        <f t="shared" si="4"/>
        <v>0</v>
      </c>
      <c r="I32" s="15"/>
      <c r="J32" s="15">
        <f t="shared" si="5"/>
        <v>0</v>
      </c>
      <c r="K32" s="15"/>
      <c r="L32" s="15">
        <f t="shared" si="6"/>
        <v>0</v>
      </c>
      <c r="M32" s="15"/>
      <c r="N32" s="134">
        <f t="shared" si="7"/>
        <v>0</v>
      </c>
      <c r="O32" s="44"/>
      <c r="P32" s="15">
        <v>3932</v>
      </c>
      <c r="Q32" s="15">
        <v>3932</v>
      </c>
      <c r="R32" s="15">
        <v>2111</v>
      </c>
      <c r="S32" s="15">
        <f t="shared" si="8"/>
        <v>6043</v>
      </c>
      <c r="T32" s="15">
        <v>2324</v>
      </c>
      <c r="U32" s="15">
        <f t="shared" si="9"/>
        <v>8367</v>
      </c>
      <c r="V32" s="15">
        <v>144</v>
      </c>
      <c r="W32" s="15">
        <f t="shared" si="10"/>
        <v>8511</v>
      </c>
      <c r="X32" s="15">
        <v>568</v>
      </c>
      <c r="Y32" s="134">
        <f t="shared" si="11"/>
        <v>9079</v>
      </c>
      <c r="Z32" s="44">
        <v>0</v>
      </c>
      <c r="AA32" s="15"/>
      <c r="AB32" s="15"/>
      <c r="AC32" s="15"/>
      <c r="AD32" s="15">
        <f t="shared" si="12"/>
        <v>0</v>
      </c>
      <c r="AE32" s="15"/>
      <c r="AF32" s="134">
        <f t="shared" si="13"/>
        <v>0</v>
      </c>
      <c r="AG32" s="44">
        <v>0</v>
      </c>
      <c r="AH32" s="15"/>
      <c r="AI32" s="15"/>
      <c r="AJ32" s="15"/>
      <c r="AK32" s="15">
        <f t="shared" si="14"/>
        <v>0</v>
      </c>
      <c r="AL32" s="15"/>
      <c r="AM32" s="16">
        <f t="shared" si="15"/>
        <v>0</v>
      </c>
      <c r="AN32" s="140">
        <v>0</v>
      </c>
      <c r="AO32" s="15"/>
      <c r="AP32" s="15"/>
      <c r="AQ32" s="15"/>
      <c r="AR32" s="134">
        <f t="shared" si="16"/>
        <v>0</v>
      </c>
      <c r="AS32" s="44">
        <v>0</v>
      </c>
      <c r="AT32" s="15"/>
      <c r="AU32" s="15"/>
      <c r="AV32" s="15"/>
      <c r="AW32" s="134">
        <f t="shared" si="17"/>
        <v>0</v>
      </c>
      <c r="AX32" s="44">
        <v>0</v>
      </c>
      <c r="AY32" s="15"/>
      <c r="AZ32" s="15"/>
      <c r="BA32" s="15"/>
      <c r="BB32" s="15"/>
      <c r="BC32" s="15">
        <f t="shared" si="18"/>
        <v>0</v>
      </c>
      <c r="BD32" s="15"/>
      <c r="BE32" s="15">
        <f t="shared" si="19"/>
        <v>0</v>
      </c>
      <c r="BF32" s="15"/>
      <c r="BG32" s="16">
        <f t="shared" si="20"/>
        <v>0</v>
      </c>
      <c r="BH32" s="140">
        <v>0</v>
      </c>
      <c r="BI32" s="15"/>
      <c r="BJ32" s="15"/>
      <c r="BK32" s="15"/>
      <c r="BL32" s="15">
        <f t="shared" si="21"/>
        <v>0</v>
      </c>
      <c r="BM32" s="15"/>
      <c r="BN32" s="16">
        <f t="shared" si="22"/>
        <v>0</v>
      </c>
      <c r="BO32" s="44">
        <v>0</v>
      </c>
      <c r="BP32" s="15"/>
      <c r="BQ32" s="15"/>
      <c r="BR32" s="15"/>
      <c r="BS32" s="134">
        <f t="shared" si="23"/>
        <v>0</v>
      </c>
      <c r="BT32" s="44">
        <v>0</v>
      </c>
      <c r="BU32" s="15"/>
      <c r="BV32" s="15"/>
      <c r="BW32" s="15"/>
      <c r="BX32" s="16">
        <f t="shared" si="24"/>
        <v>0</v>
      </c>
      <c r="BY32" s="140">
        <v>0</v>
      </c>
      <c r="BZ32" s="15"/>
      <c r="CA32" s="15"/>
      <c r="CB32" s="15"/>
      <c r="CC32" s="16">
        <f t="shared" si="25"/>
        <v>0</v>
      </c>
      <c r="CD32" s="140">
        <v>0</v>
      </c>
      <c r="CE32" s="15"/>
      <c r="CF32" s="134"/>
      <c r="CG32" s="44">
        <v>0</v>
      </c>
      <c r="CH32" s="15"/>
      <c r="CI32" s="15"/>
      <c r="CJ32" s="15"/>
      <c r="CK32" s="16">
        <f t="shared" si="26"/>
        <v>0</v>
      </c>
      <c r="CL32" s="140">
        <v>0</v>
      </c>
      <c r="CM32" s="15"/>
      <c r="CN32" s="134"/>
      <c r="CO32" s="44">
        <v>0</v>
      </c>
      <c r="CP32" s="15"/>
      <c r="CQ32" s="15"/>
      <c r="CR32" s="15"/>
      <c r="CS32" s="15">
        <f t="shared" si="27"/>
        <v>0</v>
      </c>
      <c r="CT32" s="15"/>
      <c r="CU32" s="15">
        <f t="shared" si="28"/>
        <v>0</v>
      </c>
      <c r="CV32" s="15"/>
      <c r="CW32" s="16">
        <f t="shared" si="29"/>
        <v>0</v>
      </c>
      <c r="CX32" s="140">
        <v>0</v>
      </c>
      <c r="CY32" s="15"/>
      <c r="CZ32" s="15"/>
      <c r="DA32" s="15"/>
      <c r="DB32" s="16">
        <f t="shared" si="30"/>
        <v>0</v>
      </c>
      <c r="DC32" s="140">
        <v>0</v>
      </c>
      <c r="DD32" s="15"/>
      <c r="DE32" s="15"/>
      <c r="DF32" s="15"/>
      <c r="DG32" s="15">
        <f t="shared" si="31"/>
        <v>0</v>
      </c>
      <c r="DH32" s="15"/>
      <c r="DI32" s="15">
        <f t="shared" si="32"/>
        <v>0</v>
      </c>
      <c r="DJ32" s="15"/>
      <c r="DK32" s="15">
        <f t="shared" si="33"/>
        <v>0</v>
      </c>
      <c r="DL32" s="15"/>
      <c r="DM32" s="134">
        <f t="shared" si="34"/>
        <v>0</v>
      </c>
      <c r="DN32" s="44">
        <v>0</v>
      </c>
      <c r="DO32" s="15"/>
      <c r="DP32" s="15"/>
      <c r="DQ32" s="15"/>
      <c r="DR32" s="15"/>
      <c r="DS32" s="15"/>
      <c r="DT32" s="15">
        <f t="shared" si="35"/>
        <v>0</v>
      </c>
      <c r="DU32" s="15"/>
      <c r="DV32" s="15"/>
      <c r="DW32" s="15"/>
      <c r="DX32" s="15"/>
      <c r="DY32" s="15"/>
      <c r="DZ32" s="134">
        <f t="shared" si="37"/>
        <v>0</v>
      </c>
      <c r="EA32" s="44">
        <v>0</v>
      </c>
      <c r="EB32" s="15"/>
      <c r="EC32" s="15"/>
      <c r="ED32" s="15"/>
      <c r="EE32" s="134">
        <f t="shared" si="38"/>
        <v>0</v>
      </c>
      <c r="EF32" s="44"/>
      <c r="EG32" s="15"/>
      <c r="EH32" s="15"/>
      <c r="EI32" s="15"/>
      <c r="EJ32" s="16">
        <f t="shared" si="39"/>
        <v>0</v>
      </c>
      <c r="EK32" s="140">
        <v>0</v>
      </c>
      <c r="EL32" s="15"/>
      <c r="EM32" s="15"/>
      <c r="EN32" s="15"/>
      <c r="EO32" s="15">
        <f t="shared" si="40"/>
        <v>0</v>
      </c>
      <c r="EP32" s="15"/>
      <c r="EQ32" s="15">
        <f t="shared" si="41"/>
        <v>0</v>
      </c>
      <c r="ER32" s="15"/>
      <c r="ES32" s="16">
        <f t="shared" si="42"/>
        <v>0</v>
      </c>
      <c r="ET32" s="140"/>
      <c r="EU32" s="15"/>
      <c r="EV32" s="15"/>
      <c r="EW32" s="52"/>
      <c r="EX32" s="15"/>
      <c r="EY32" s="15"/>
      <c r="EZ32" s="52"/>
      <c r="FA32" s="15"/>
      <c r="FB32" s="15"/>
      <c r="FC32" s="15"/>
      <c r="FD32" s="134">
        <f t="shared" si="43"/>
        <v>0</v>
      </c>
      <c r="FE32" s="37"/>
      <c r="FF32" s="15"/>
      <c r="FG32" s="15"/>
      <c r="FH32" s="240">
        <f t="shared" si="79"/>
        <v>0</v>
      </c>
      <c r="FI32" s="161"/>
      <c r="FJ32" s="15">
        <f t="shared" si="0"/>
        <v>0</v>
      </c>
      <c r="FK32" s="15"/>
      <c r="FL32" s="134">
        <f t="shared" si="44"/>
        <v>0</v>
      </c>
      <c r="FM32" s="52"/>
      <c r="FN32" s="15"/>
      <c r="FO32" s="15"/>
      <c r="FP32" s="15"/>
      <c r="FQ32" s="15">
        <f t="shared" si="45"/>
        <v>0</v>
      </c>
      <c r="FR32" s="15"/>
      <c r="FS32" s="15">
        <f t="shared" si="46"/>
        <v>0</v>
      </c>
      <c r="FT32" s="161"/>
      <c r="FU32" s="15">
        <f t="shared" si="47"/>
        <v>0</v>
      </c>
      <c r="FV32" s="15"/>
      <c r="FW32" s="134">
        <f t="shared" si="64"/>
        <v>0</v>
      </c>
      <c r="FX32" s="37"/>
      <c r="FY32" s="15">
        <f t="shared" si="49"/>
        <v>0</v>
      </c>
      <c r="FZ32" s="15"/>
      <c r="GA32" s="16">
        <f t="shared" si="50"/>
        <v>0</v>
      </c>
      <c r="GB32" s="37"/>
      <c r="GC32" s="16"/>
      <c r="GD32" s="161"/>
      <c r="GE32" s="134"/>
      <c r="GF32" s="37"/>
      <c r="GG32" s="15">
        <f t="shared" si="51"/>
        <v>0</v>
      </c>
      <c r="GH32" s="15"/>
      <c r="GI32" s="16">
        <f t="shared" si="59"/>
        <v>0</v>
      </c>
      <c r="GJ32" s="161"/>
      <c r="GK32" s="134">
        <f t="shared" si="52"/>
        <v>0</v>
      </c>
      <c r="GL32" s="37"/>
      <c r="GM32" s="16"/>
      <c r="GN32" s="397">
        <f t="shared" si="80"/>
        <v>0</v>
      </c>
      <c r="GO32" s="113">
        <f t="shared" si="74"/>
        <v>3932</v>
      </c>
      <c r="GP32" s="113"/>
      <c r="GQ32" s="113">
        <v>3932</v>
      </c>
      <c r="GR32" s="113">
        <f t="shared" si="83"/>
        <v>2111</v>
      </c>
      <c r="GS32" s="113">
        <f t="shared" si="53"/>
        <v>6043</v>
      </c>
      <c r="GT32" s="113">
        <f t="shared" si="84"/>
        <v>2324</v>
      </c>
      <c r="GU32" s="113">
        <f t="shared" si="54"/>
        <v>8367</v>
      </c>
      <c r="GV32" s="113">
        <f t="shared" si="77"/>
        <v>144</v>
      </c>
      <c r="GW32" s="113">
        <f t="shared" si="55"/>
        <v>8511</v>
      </c>
      <c r="GX32" s="380">
        <f t="shared" si="78"/>
        <v>568</v>
      </c>
      <c r="GY32" s="381">
        <f t="shared" si="57"/>
        <v>9079</v>
      </c>
    </row>
    <row r="33" spans="1:207" x14ac:dyDescent="0.2">
      <c r="A33" s="21" t="s">
        <v>25</v>
      </c>
      <c r="B33" s="65" t="s">
        <v>53</v>
      </c>
      <c r="C33" s="44">
        <v>2500000</v>
      </c>
      <c r="D33" s="15"/>
      <c r="E33" s="15"/>
      <c r="F33" s="15">
        <v>2500</v>
      </c>
      <c r="G33" s="15"/>
      <c r="H33" s="15">
        <f t="shared" si="4"/>
        <v>2500</v>
      </c>
      <c r="I33" s="15">
        <v>-1800</v>
      </c>
      <c r="J33" s="15">
        <f t="shared" si="5"/>
        <v>700</v>
      </c>
      <c r="K33" s="15"/>
      <c r="L33" s="15">
        <f t="shared" si="6"/>
        <v>700</v>
      </c>
      <c r="M33" s="15">
        <v>9</v>
      </c>
      <c r="N33" s="134">
        <f t="shared" si="7"/>
        <v>709</v>
      </c>
      <c r="O33" s="44">
        <v>0</v>
      </c>
      <c r="P33" s="15"/>
      <c r="Q33" s="15"/>
      <c r="R33" s="15"/>
      <c r="S33" s="15">
        <f t="shared" si="8"/>
        <v>0</v>
      </c>
      <c r="T33" s="15"/>
      <c r="U33" s="15">
        <f t="shared" si="9"/>
        <v>0</v>
      </c>
      <c r="V33" s="15"/>
      <c r="W33" s="15">
        <f t="shared" si="10"/>
        <v>0</v>
      </c>
      <c r="X33" s="15"/>
      <c r="Y33" s="134">
        <f t="shared" si="11"/>
        <v>0</v>
      </c>
      <c r="Z33" s="44">
        <v>0</v>
      </c>
      <c r="AA33" s="15"/>
      <c r="AB33" s="15"/>
      <c r="AC33" s="15"/>
      <c r="AD33" s="15">
        <f t="shared" si="12"/>
        <v>0</v>
      </c>
      <c r="AE33" s="15"/>
      <c r="AF33" s="134">
        <f t="shared" si="13"/>
        <v>0</v>
      </c>
      <c r="AG33" s="44">
        <v>0</v>
      </c>
      <c r="AH33" s="15"/>
      <c r="AI33" s="15"/>
      <c r="AJ33" s="15"/>
      <c r="AK33" s="15">
        <f t="shared" si="14"/>
        <v>0</v>
      </c>
      <c r="AL33" s="15"/>
      <c r="AM33" s="16">
        <f t="shared" si="15"/>
        <v>0</v>
      </c>
      <c r="AN33" s="140">
        <v>0</v>
      </c>
      <c r="AO33" s="15"/>
      <c r="AP33" s="15"/>
      <c r="AQ33" s="15"/>
      <c r="AR33" s="134">
        <f t="shared" si="16"/>
        <v>0</v>
      </c>
      <c r="AS33" s="44">
        <v>0</v>
      </c>
      <c r="AT33" s="15"/>
      <c r="AU33" s="15"/>
      <c r="AV33" s="15"/>
      <c r="AW33" s="134">
        <f t="shared" si="17"/>
        <v>0</v>
      </c>
      <c r="AX33" s="44">
        <v>0</v>
      </c>
      <c r="AY33" s="15"/>
      <c r="AZ33" s="15"/>
      <c r="BA33" s="15"/>
      <c r="BB33" s="15"/>
      <c r="BC33" s="15">
        <f t="shared" si="18"/>
        <v>0</v>
      </c>
      <c r="BD33" s="15"/>
      <c r="BE33" s="15">
        <f t="shared" si="19"/>
        <v>0</v>
      </c>
      <c r="BF33" s="15"/>
      <c r="BG33" s="16">
        <f t="shared" si="20"/>
        <v>0</v>
      </c>
      <c r="BH33" s="140">
        <v>0</v>
      </c>
      <c r="BI33" s="15"/>
      <c r="BJ33" s="15"/>
      <c r="BK33" s="15"/>
      <c r="BL33" s="15">
        <f t="shared" si="21"/>
        <v>0</v>
      </c>
      <c r="BM33" s="15"/>
      <c r="BN33" s="16">
        <f t="shared" si="22"/>
        <v>0</v>
      </c>
      <c r="BO33" s="44">
        <v>0</v>
      </c>
      <c r="BP33" s="15">
        <v>1800</v>
      </c>
      <c r="BQ33" s="15">
        <v>1800</v>
      </c>
      <c r="BR33" s="15">
        <v>455</v>
      </c>
      <c r="BS33" s="134">
        <f t="shared" si="23"/>
        <v>2255</v>
      </c>
      <c r="BT33" s="44">
        <v>0</v>
      </c>
      <c r="BU33" s="15"/>
      <c r="BV33" s="15"/>
      <c r="BW33" s="15"/>
      <c r="BX33" s="16">
        <f t="shared" si="24"/>
        <v>0</v>
      </c>
      <c r="BY33" s="140">
        <v>0</v>
      </c>
      <c r="BZ33" s="15"/>
      <c r="CA33" s="15"/>
      <c r="CB33" s="15"/>
      <c r="CC33" s="16">
        <f t="shared" si="25"/>
        <v>0</v>
      </c>
      <c r="CD33" s="140">
        <v>0</v>
      </c>
      <c r="CE33" s="15"/>
      <c r="CF33" s="134"/>
      <c r="CG33" s="44">
        <v>0</v>
      </c>
      <c r="CH33" s="15"/>
      <c r="CI33" s="15"/>
      <c r="CJ33" s="15"/>
      <c r="CK33" s="16">
        <f t="shared" si="26"/>
        <v>0</v>
      </c>
      <c r="CL33" s="140">
        <v>0</v>
      </c>
      <c r="CM33" s="15"/>
      <c r="CN33" s="134"/>
      <c r="CO33" s="44">
        <v>0</v>
      </c>
      <c r="CP33" s="15"/>
      <c r="CQ33" s="15"/>
      <c r="CR33" s="15"/>
      <c r="CS33" s="15">
        <f t="shared" si="27"/>
        <v>0</v>
      </c>
      <c r="CT33" s="15"/>
      <c r="CU33" s="15">
        <f t="shared" si="28"/>
        <v>0</v>
      </c>
      <c r="CV33" s="15"/>
      <c r="CW33" s="16">
        <f t="shared" si="29"/>
        <v>0</v>
      </c>
      <c r="CX33" s="140">
        <v>0</v>
      </c>
      <c r="CY33" s="15"/>
      <c r="CZ33" s="15"/>
      <c r="DA33" s="15"/>
      <c r="DB33" s="16">
        <f t="shared" si="30"/>
        <v>0</v>
      </c>
      <c r="DC33" s="140">
        <v>0</v>
      </c>
      <c r="DD33" s="15"/>
      <c r="DE33" s="15"/>
      <c r="DF33" s="15"/>
      <c r="DG33" s="15">
        <f t="shared" si="31"/>
        <v>0</v>
      </c>
      <c r="DH33" s="15"/>
      <c r="DI33" s="15">
        <f t="shared" si="32"/>
        <v>0</v>
      </c>
      <c r="DJ33" s="15"/>
      <c r="DK33" s="15">
        <f t="shared" si="33"/>
        <v>0</v>
      </c>
      <c r="DL33" s="15"/>
      <c r="DM33" s="134">
        <f t="shared" si="34"/>
        <v>0</v>
      </c>
      <c r="DN33" s="44">
        <v>0</v>
      </c>
      <c r="DO33" s="15"/>
      <c r="DP33" s="15"/>
      <c r="DQ33" s="15"/>
      <c r="DR33" s="15"/>
      <c r="DS33" s="15"/>
      <c r="DT33" s="15">
        <f t="shared" si="35"/>
        <v>0</v>
      </c>
      <c r="DU33" s="15"/>
      <c r="DV33" s="15"/>
      <c r="DW33" s="15"/>
      <c r="DX33" s="15"/>
      <c r="DY33" s="15"/>
      <c r="DZ33" s="134">
        <f t="shared" si="37"/>
        <v>0</v>
      </c>
      <c r="EA33" s="44">
        <v>0</v>
      </c>
      <c r="EB33" s="15"/>
      <c r="EC33" s="15"/>
      <c r="ED33" s="15"/>
      <c r="EE33" s="134">
        <f t="shared" si="38"/>
        <v>0</v>
      </c>
      <c r="EF33" s="44"/>
      <c r="EG33" s="15"/>
      <c r="EH33" s="15"/>
      <c r="EI33" s="15"/>
      <c r="EJ33" s="16">
        <f t="shared" si="39"/>
        <v>0</v>
      </c>
      <c r="EK33" s="140">
        <v>0</v>
      </c>
      <c r="EL33" s="15"/>
      <c r="EM33" s="15"/>
      <c r="EN33" s="15"/>
      <c r="EO33" s="15">
        <f t="shared" si="40"/>
        <v>0</v>
      </c>
      <c r="EP33" s="15"/>
      <c r="EQ33" s="15">
        <f t="shared" si="41"/>
        <v>0</v>
      </c>
      <c r="ER33" s="15"/>
      <c r="ES33" s="16">
        <f t="shared" si="42"/>
        <v>0</v>
      </c>
      <c r="ET33" s="140"/>
      <c r="EU33" s="15"/>
      <c r="EV33" s="15"/>
      <c r="EW33" s="52"/>
      <c r="EX33" s="15"/>
      <c r="EY33" s="15"/>
      <c r="EZ33" s="52"/>
      <c r="FA33" s="15"/>
      <c r="FB33" s="15"/>
      <c r="FC33" s="15"/>
      <c r="FD33" s="134">
        <f t="shared" si="43"/>
        <v>0</v>
      </c>
      <c r="FE33" s="37"/>
      <c r="FF33" s="15"/>
      <c r="FG33" s="15"/>
      <c r="FH33" s="240">
        <f t="shared" si="79"/>
        <v>0</v>
      </c>
      <c r="FI33" s="161"/>
      <c r="FJ33" s="15">
        <f t="shared" si="0"/>
        <v>0</v>
      </c>
      <c r="FK33" s="15"/>
      <c r="FL33" s="134">
        <f t="shared" si="44"/>
        <v>0</v>
      </c>
      <c r="FM33" s="52"/>
      <c r="FN33" s="15"/>
      <c r="FO33" s="15"/>
      <c r="FP33" s="15"/>
      <c r="FQ33" s="15">
        <f t="shared" si="45"/>
        <v>0</v>
      </c>
      <c r="FR33" s="15"/>
      <c r="FS33" s="15">
        <f t="shared" si="46"/>
        <v>0</v>
      </c>
      <c r="FT33" s="161"/>
      <c r="FU33" s="15">
        <f t="shared" si="47"/>
        <v>0</v>
      </c>
      <c r="FV33" s="15"/>
      <c r="FW33" s="134">
        <f t="shared" si="64"/>
        <v>0</v>
      </c>
      <c r="FX33" s="37"/>
      <c r="FY33" s="15">
        <f t="shared" si="49"/>
        <v>0</v>
      </c>
      <c r="FZ33" s="15"/>
      <c r="GA33" s="16">
        <f t="shared" si="50"/>
        <v>0</v>
      </c>
      <c r="GB33" s="37"/>
      <c r="GC33" s="16"/>
      <c r="GD33" s="161"/>
      <c r="GE33" s="134"/>
      <c r="GF33" s="37"/>
      <c r="GG33" s="15">
        <f t="shared" si="51"/>
        <v>0</v>
      </c>
      <c r="GH33" s="15"/>
      <c r="GI33" s="16">
        <f t="shared" si="59"/>
        <v>0</v>
      </c>
      <c r="GJ33" s="161"/>
      <c r="GK33" s="134">
        <f t="shared" si="52"/>
        <v>0</v>
      </c>
      <c r="GL33" s="37"/>
      <c r="GM33" s="16"/>
      <c r="GN33" s="397">
        <f t="shared" si="80"/>
        <v>2500000</v>
      </c>
      <c r="GO33" s="113">
        <f t="shared" si="74"/>
        <v>1800</v>
      </c>
      <c r="GP33" s="113"/>
      <c r="GQ33" s="113">
        <v>2500</v>
      </c>
      <c r="GR33" s="113">
        <f t="shared" si="83"/>
        <v>0</v>
      </c>
      <c r="GS33" s="113">
        <f t="shared" si="53"/>
        <v>2500</v>
      </c>
      <c r="GT33" s="113">
        <f t="shared" si="84"/>
        <v>0</v>
      </c>
      <c r="GU33" s="113">
        <f t="shared" si="54"/>
        <v>2500</v>
      </c>
      <c r="GV33" s="113">
        <f t="shared" si="77"/>
        <v>0</v>
      </c>
      <c r="GW33" s="113">
        <f t="shared" si="55"/>
        <v>2500</v>
      </c>
      <c r="GX33" s="380">
        <f t="shared" si="78"/>
        <v>464</v>
      </c>
      <c r="GY33" s="381">
        <f t="shared" si="57"/>
        <v>2964</v>
      </c>
    </row>
    <row r="34" spans="1:207" s="7" customFormat="1" x14ac:dyDescent="0.2">
      <c r="A34" s="20" t="s">
        <v>26</v>
      </c>
      <c r="B34" s="68" t="s">
        <v>54</v>
      </c>
      <c r="C34" s="60">
        <f>C31+C32+C33</f>
        <v>2500000</v>
      </c>
      <c r="D34" s="38">
        <f t="shared" ref="D34:EC34" si="85">D31+D32+D33</f>
        <v>0</v>
      </c>
      <c r="E34" s="38"/>
      <c r="F34" s="38">
        <f>F31+F32+F33</f>
        <v>2500</v>
      </c>
      <c r="G34" s="38">
        <v>0</v>
      </c>
      <c r="H34" s="15">
        <f t="shared" si="4"/>
        <v>2500</v>
      </c>
      <c r="I34" s="15">
        <v>-1800</v>
      </c>
      <c r="J34" s="15">
        <f t="shared" si="5"/>
        <v>700</v>
      </c>
      <c r="K34" s="15"/>
      <c r="L34" s="15">
        <f t="shared" si="6"/>
        <v>700</v>
      </c>
      <c r="M34" s="15">
        <v>9</v>
      </c>
      <c r="N34" s="134">
        <f t="shared" si="7"/>
        <v>709</v>
      </c>
      <c r="O34" s="60">
        <f t="shared" si="85"/>
        <v>0</v>
      </c>
      <c r="P34" s="38">
        <f t="shared" si="85"/>
        <v>3932</v>
      </c>
      <c r="Q34" s="38">
        <f t="shared" si="85"/>
        <v>3932</v>
      </c>
      <c r="R34" s="38">
        <v>2111</v>
      </c>
      <c r="S34" s="15">
        <f t="shared" si="8"/>
        <v>6043</v>
      </c>
      <c r="T34" s="15">
        <v>2324</v>
      </c>
      <c r="U34" s="15">
        <f t="shared" si="9"/>
        <v>8367</v>
      </c>
      <c r="V34" s="15">
        <v>144</v>
      </c>
      <c r="W34" s="15">
        <f t="shared" si="10"/>
        <v>8511</v>
      </c>
      <c r="X34" s="15">
        <v>568</v>
      </c>
      <c r="Y34" s="134">
        <f t="shared" si="11"/>
        <v>9079</v>
      </c>
      <c r="Z34" s="60">
        <f t="shared" si="85"/>
        <v>0</v>
      </c>
      <c r="AA34" s="38">
        <f t="shared" si="85"/>
        <v>0</v>
      </c>
      <c r="AB34" s="38">
        <f t="shared" si="85"/>
        <v>0</v>
      </c>
      <c r="AC34" s="38"/>
      <c r="AD34" s="15">
        <f t="shared" si="12"/>
        <v>0</v>
      </c>
      <c r="AE34" s="15"/>
      <c r="AF34" s="134">
        <f t="shared" si="13"/>
        <v>0</v>
      </c>
      <c r="AG34" s="60">
        <f t="shared" si="85"/>
        <v>0</v>
      </c>
      <c r="AH34" s="38">
        <f t="shared" si="85"/>
        <v>0</v>
      </c>
      <c r="AI34" s="38">
        <f t="shared" si="85"/>
        <v>0</v>
      </c>
      <c r="AJ34" s="38"/>
      <c r="AK34" s="15">
        <f t="shared" si="14"/>
        <v>0</v>
      </c>
      <c r="AL34" s="15"/>
      <c r="AM34" s="16">
        <f t="shared" si="15"/>
        <v>0</v>
      </c>
      <c r="AN34" s="139">
        <f t="shared" si="85"/>
        <v>0</v>
      </c>
      <c r="AO34" s="38">
        <f t="shared" si="85"/>
        <v>0</v>
      </c>
      <c r="AP34" s="38">
        <f t="shared" si="85"/>
        <v>0</v>
      </c>
      <c r="AQ34" s="38"/>
      <c r="AR34" s="134">
        <f t="shared" si="16"/>
        <v>0</v>
      </c>
      <c r="AS34" s="60">
        <f t="shared" si="85"/>
        <v>0</v>
      </c>
      <c r="AT34" s="38">
        <f t="shared" si="85"/>
        <v>0</v>
      </c>
      <c r="AU34" s="38">
        <f t="shared" si="85"/>
        <v>0</v>
      </c>
      <c r="AV34" s="38"/>
      <c r="AW34" s="134">
        <f t="shared" si="17"/>
        <v>0</v>
      </c>
      <c r="AX34" s="60">
        <f t="shared" si="85"/>
        <v>0</v>
      </c>
      <c r="AY34" s="38">
        <f t="shared" si="85"/>
        <v>0</v>
      </c>
      <c r="AZ34" s="38"/>
      <c r="BA34" s="38">
        <f t="shared" si="85"/>
        <v>0</v>
      </c>
      <c r="BB34" s="38"/>
      <c r="BC34" s="15">
        <f t="shared" si="18"/>
        <v>0</v>
      </c>
      <c r="BD34" s="15"/>
      <c r="BE34" s="15">
        <f t="shared" si="19"/>
        <v>0</v>
      </c>
      <c r="BF34" s="15"/>
      <c r="BG34" s="16">
        <f t="shared" si="20"/>
        <v>0</v>
      </c>
      <c r="BH34" s="139">
        <f t="shared" si="85"/>
        <v>0</v>
      </c>
      <c r="BI34" s="38">
        <f t="shared" si="85"/>
        <v>0</v>
      </c>
      <c r="BJ34" s="38">
        <f t="shared" si="85"/>
        <v>0</v>
      </c>
      <c r="BK34" s="38"/>
      <c r="BL34" s="15">
        <f t="shared" si="21"/>
        <v>0</v>
      </c>
      <c r="BM34" s="15"/>
      <c r="BN34" s="16">
        <f t="shared" si="22"/>
        <v>0</v>
      </c>
      <c r="BO34" s="60">
        <f t="shared" ref="BO34:BQ34" si="86">BO31+BO32+BO33</f>
        <v>0</v>
      </c>
      <c r="BP34" s="38">
        <f t="shared" si="86"/>
        <v>1800</v>
      </c>
      <c r="BQ34" s="38">
        <f t="shared" si="86"/>
        <v>1800</v>
      </c>
      <c r="BR34" s="38">
        <v>455</v>
      </c>
      <c r="BS34" s="134">
        <f t="shared" si="23"/>
        <v>2255</v>
      </c>
      <c r="BT34" s="60">
        <f t="shared" ref="BT34:BV34" si="87">BT31+BT32+BT33</f>
        <v>0</v>
      </c>
      <c r="BU34" s="38">
        <f t="shared" si="87"/>
        <v>0</v>
      </c>
      <c r="BV34" s="38">
        <f t="shared" si="87"/>
        <v>0</v>
      </c>
      <c r="BW34" s="38"/>
      <c r="BX34" s="16">
        <f t="shared" si="24"/>
        <v>0</v>
      </c>
      <c r="BY34" s="139">
        <f t="shared" si="85"/>
        <v>0</v>
      </c>
      <c r="BZ34" s="38">
        <f t="shared" si="85"/>
        <v>0</v>
      </c>
      <c r="CA34" s="38">
        <f t="shared" si="85"/>
        <v>0</v>
      </c>
      <c r="CB34" s="38"/>
      <c r="CC34" s="16">
        <f t="shared" si="25"/>
        <v>0</v>
      </c>
      <c r="CD34" s="139">
        <f t="shared" ref="CD34:CF34" si="88">CD31+CD32+CD33</f>
        <v>0</v>
      </c>
      <c r="CE34" s="38">
        <f t="shared" si="88"/>
        <v>0</v>
      </c>
      <c r="CF34" s="136">
        <f t="shared" si="88"/>
        <v>0</v>
      </c>
      <c r="CG34" s="60">
        <f t="shared" si="85"/>
        <v>0</v>
      </c>
      <c r="CH34" s="38">
        <f t="shared" si="85"/>
        <v>0</v>
      </c>
      <c r="CI34" s="38">
        <f t="shared" si="85"/>
        <v>0</v>
      </c>
      <c r="CJ34" s="38"/>
      <c r="CK34" s="16">
        <f t="shared" si="26"/>
        <v>0</v>
      </c>
      <c r="CL34" s="139">
        <f t="shared" si="85"/>
        <v>0</v>
      </c>
      <c r="CM34" s="38">
        <f t="shared" si="85"/>
        <v>0</v>
      </c>
      <c r="CN34" s="136">
        <f t="shared" si="85"/>
        <v>0</v>
      </c>
      <c r="CO34" s="60">
        <f t="shared" si="85"/>
        <v>0</v>
      </c>
      <c r="CP34" s="38">
        <f t="shared" si="85"/>
        <v>0</v>
      </c>
      <c r="CQ34" s="38">
        <f t="shared" si="85"/>
        <v>0</v>
      </c>
      <c r="CR34" s="38"/>
      <c r="CS34" s="15">
        <f t="shared" si="27"/>
        <v>0</v>
      </c>
      <c r="CT34" s="15"/>
      <c r="CU34" s="15">
        <f t="shared" si="28"/>
        <v>0</v>
      </c>
      <c r="CV34" s="15"/>
      <c r="CW34" s="16">
        <f t="shared" si="29"/>
        <v>0</v>
      </c>
      <c r="CX34" s="139">
        <f t="shared" si="85"/>
        <v>0</v>
      </c>
      <c r="CY34" s="38">
        <f t="shared" si="85"/>
        <v>0</v>
      </c>
      <c r="CZ34" s="38">
        <f t="shared" si="85"/>
        <v>0</v>
      </c>
      <c r="DA34" s="38"/>
      <c r="DB34" s="16">
        <f t="shared" si="30"/>
        <v>0</v>
      </c>
      <c r="DC34" s="139">
        <f t="shared" si="85"/>
        <v>0</v>
      </c>
      <c r="DD34" s="38">
        <f t="shared" si="85"/>
        <v>0</v>
      </c>
      <c r="DE34" s="38">
        <f t="shared" si="85"/>
        <v>0</v>
      </c>
      <c r="DF34" s="38"/>
      <c r="DG34" s="15">
        <f t="shared" si="31"/>
        <v>0</v>
      </c>
      <c r="DH34" s="15">
        <v>3154</v>
      </c>
      <c r="DI34" s="15">
        <f t="shared" si="32"/>
        <v>3154</v>
      </c>
      <c r="DJ34" s="15"/>
      <c r="DK34" s="15">
        <f t="shared" si="33"/>
        <v>3154</v>
      </c>
      <c r="DL34" s="15">
        <v>30000</v>
      </c>
      <c r="DM34" s="134">
        <f t="shared" si="34"/>
        <v>33154</v>
      </c>
      <c r="DN34" s="60">
        <f t="shared" si="85"/>
        <v>0</v>
      </c>
      <c r="DO34" s="38">
        <f t="shared" si="85"/>
        <v>0</v>
      </c>
      <c r="DP34" s="38">
        <f t="shared" si="85"/>
        <v>0</v>
      </c>
      <c r="DQ34" s="38"/>
      <c r="DR34" s="38"/>
      <c r="DS34" s="38"/>
      <c r="DT34" s="15">
        <f t="shared" si="35"/>
        <v>0</v>
      </c>
      <c r="DU34" s="15"/>
      <c r="DV34" s="15"/>
      <c r="DW34" s="15"/>
      <c r="DX34" s="15"/>
      <c r="DY34" s="15"/>
      <c r="DZ34" s="134">
        <f t="shared" si="37"/>
        <v>0</v>
      </c>
      <c r="EA34" s="60">
        <f t="shared" si="85"/>
        <v>0</v>
      </c>
      <c r="EB34" s="38">
        <f t="shared" si="85"/>
        <v>0</v>
      </c>
      <c r="EC34" s="38">
        <f t="shared" si="85"/>
        <v>0</v>
      </c>
      <c r="ED34" s="38"/>
      <c r="EE34" s="134">
        <f t="shared" si="38"/>
        <v>0</v>
      </c>
      <c r="EF34" s="60"/>
      <c r="EG34" s="38"/>
      <c r="EH34" s="38"/>
      <c r="EI34" s="38"/>
      <c r="EJ34" s="16">
        <f t="shared" si="39"/>
        <v>0</v>
      </c>
      <c r="EK34" s="139">
        <f t="shared" ref="EK34:EM34" si="89">EK31+EK32+EK33</f>
        <v>0</v>
      </c>
      <c r="EL34" s="38">
        <f t="shared" si="89"/>
        <v>0</v>
      </c>
      <c r="EM34" s="38">
        <f t="shared" si="89"/>
        <v>0</v>
      </c>
      <c r="EN34" s="38"/>
      <c r="EO34" s="15">
        <f t="shared" si="40"/>
        <v>0</v>
      </c>
      <c r="EP34" s="15"/>
      <c r="EQ34" s="15">
        <f t="shared" si="41"/>
        <v>0</v>
      </c>
      <c r="ER34" s="15"/>
      <c r="ES34" s="16">
        <f t="shared" si="42"/>
        <v>0</v>
      </c>
      <c r="ET34" s="139"/>
      <c r="EU34" s="38"/>
      <c r="EV34" s="38"/>
      <c r="EW34" s="51"/>
      <c r="EX34" s="38"/>
      <c r="EY34" s="38"/>
      <c r="EZ34" s="51"/>
      <c r="FA34" s="38"/>
      <c r="FB34" s="38"/>
      <c r="FC34" s="38"/>
      <c r="FD34" s="134">
        <f t="shared" si="43"/>
        <v>0</v>
      </c>
      <c r="FE34" s="61">
        <v>18240</v>
      </c>
      <c r="FF34" s="38">
        <v>18240</v>
      </c>
      <c r="FG34" s="38"/>
      <c r="FH34" s="240">
        <f t="shared" si="79"/>
        <v>18240</v>
      </c>
      <c r="FI34" s="160">
        <v>37159</v>
      </c>
      <c r="FJ34" s="15">
        <f t="shared" si="0"/>
        <v>37159</v>
      </c>
      <c r="FK34" s="15"/>
      <c r="FL34" s="134">
        <f t="shared" si="44"/>
        <v>37159</v>
      </c>
      <c r="FM34" s="51"/>
      <c r="FN34" s="38"/>
      <c r="FO34" s="38"/>
      <c r="FP34" s="38"/>
      <c r="FQ34" s="15">
        <f t="shared" si="45"/>
        <v>0</v>
      </c>
      <c r="FR34" s="15"/>
      <c r="FS34" s="15">
        <f t="shared" si="46"/>
        <v>0</v>
      </c>
      <c r="FT34" s="160">
        <v>53934</v>
      </c>
      <c r="FU34" s="15">
        <f t="shared" si="47"/>
        <v>53934</v>
      </c>
      <c r="FV34" s="15"/>
      <c r="FW34" s="134">
        <f t="shared" si="64"/>
        <v>53934</v>
      </c>
      <c r="FX34" s="37"/>
      <c r="FY34" s="15">
        <f t="shared" si="49"/>
        <v>0</v>
      </c>
      <c r="FZ34" s="15"/>
      <c r="GA34" s="16">
        <f t="shared" si="50"/>
        <v>0</v>
      </c>
      <c r="GB34" s="37"/>
      <c r="GC34" s="16"/>
      <c r="GD34" s="161"/>
      <c r="GE34" s="134"/>
      <c r="GF34" s="37"/>
      <c r="GG34" s="15">
        <f t="shared" si="51"/>
        <v>0</v>
      </c>
      <c r="GH34" s="15"/>
      <c r="GI34" s="16">
        <f t="shared" si="59"/>
        <v>0</v>
      </c>
      <c r="GJ34" s="161">
        <v>10000</v>
      </c>
      <c r="GK34" s="134">
        <f t="shared" si="52"/>
        <v>10000</v>
      </c>
      <c r="GL34" s="37"/>
      <c r="GM34" s="16"/>
      <c r="GN34" s="398">
        <f t="shared" si="80"/>
        <v>2500000</v>
      </c>
      <c r="GO34" s="113">
        <f t="shared" si="74"/>
        <v>23972</v>
      </c>
      <c r="GP34" s="113"/>
      <c r="GQ34" s="163">
        <v>24672</v>
      </c>
      <c r="GR34" s="113">
        <f t="shared" si="83"/>
        <v>39270</v>
      </c>
      <c r="GS34" s="113">
        <f t="shared" si="53"/>
        <v>63942</v>
      </c>
      <c r="GT34" s="113">
        <f t="shared" si="84"/>
        <v>59412</v>
      </c>
      <c r="GU34" s="113">
        <f t="shared" si="54"/>
        <v>123354</v>
      </c>
      <c r="GV34" s="113">
        <f t="shared" si="77"/>
        <v>144</v>
      </c>
      <c r="GW34" s="113">
        <f t="shared" si="55"/>
        <v>123498</v>
      </c>
      <c r="GX34" s="380">
        <f>SUM(GX31:GX33)</f>
        <v>41032</v>
      </c>
      <c r="GY34" s="381">
        <f t="shared" si="57"/>
        <v>164530</v>
      </c>
    </row>
    <row r="35" spans="1:207" s="7" customFormat="1" x14ac:dyDescent="0.2">
      <c r="A35" s="20" t="s">
        <v>27</v>
      </c>
      <c r="B35" s="68" t="s">
        <v>74</v>
      </c>
      <c r="C35" s="60">
        <f>C36+C37+C39</f>
        <v>0</v>
      </c>
      <c r="D35" s="38">
        <f t="shared" ref="D35:EC35" si="90">D36+D37+D39</f>
        <v>0</v>
      </c>
      <c r="E35" s="38"/>
      <c r="F35" s="38">
        <f t="shared" si="90"/>
        <v>0</v>
      </c>
      <c r="G35" s="38"/>
      <c r="H35" s="15">
        <f t="shared" si="4"/>
        <v>0</v>
      </c>
      <c r="I35" s="15"/>
      <c r="J35" s="15">
        <f t="shared" si="5"/>
        <v>0</v>
      </c>
      <c r="K35" s="15"/>
      <c r="L35" s="15">
        <f t="shared" si="6"/>
        <v>0</v>
      </c>
      <c r="M35" s="15"/>
      <c r="N35" s="134">
        <f t="shared" si="7"/>
        <v>0</v>
      </c>
      <c r="O35" s="60">
        <f t="shared" si="90"/>
        <v>0</v>
      </c>
      <c r="P35" s="38">
        <f t="shared" si="90"/>
        <v>0</v>
      </c>
      <c r="Q35" s="38">
        <f t="shared" si="90"/>
        <v>0</v>
      </c>
      <c r="R35" s="38"/>
      <c r="S35" s="15">
        <f t="shared" si="8"/>
        <v>0</v>
      </c>
      <c r="T35" s="15"/>
      <c r="U35" s="15">
        <f t="shared" si="9"/>
        <v>0</v>
      </c>
      <c r="V35" s="15"/>
      <c r="W35" s="15">
        <f t="shared" si="10"/>
        <v>0</v>
      </c>
      <c r="X35" s="15"/>
      <c r="Y35" s="134">
        <f t="shared" si="11"/>
        <v>0</v>
      </c>
      <c r="Z35" s="60">
        <f t="shared" si="90"/>
        <v>0</v>
      </c>
      <c r="AA35" s="38">
        <f t="shared" si="90"/>
        <v>0</v>
      </c>
      <c r="AB35" s="38">
        <f t="shared" si="90"/>
        <v>0</v>
      </c>
      <c r="AC35" s="38"/>
      <c r="AD35" s="15">
        <f t="shared" si="12"/>
        <v>0</v>
      </c>
      <c r="AE35" s="15"/>
      <c r="AF35" s="134">
        <f t="shared" si="13"/>
        <v>0</v>
      </c>
      <c r="AG35" s="60">
        <f t="shared" si="90"/>
        <v>0</v>
      </c>
      <c r="AH35" s="38">
        <f t="shared" si="90"/>
        <v>0</v>
      </c>
      <c r="AI35" s="38">
        <f t="shared" si="90"/>
        <v>0</v>
      </c>
      <c r="AJ35" s="38"/>
      <c r="AK35" s="15">
        <f t="shared" si="14"/>
        <v>0</v>
      </c>
      <c r="AL35" s="15"/>
      <c r="AM35" s="16">
        <f t="shared" si="15"/>
        <v>0</v>
      </c>
      <c r="AN35" s="139">
        <f t="shared" si="90"/>
        <v>0</v>
      </c>
      <c r="AO35" s="38">
        <f t="shared" si="90"/>
        <v>0</v>
      </c>
      <c r="AP35" s="38">
        <f t="shared" si="90"/>
        <v>0</v>
      </c>
      <c r="AQ35" s="38"/>
      <c r="AR35" s="134">
        <f t="shared" si="16"/>
        <v>0</v>
      </c>
      <c r="AS35" s="60">
        <f t="shared" si="90"/>
        <v>0</v>
      </c>
      <c r="AT35" s="38">
        <f t="shared" si="90"/>
        <v>0</v>
      </c>
      <c r="AU35" s="38">
        <f t="shared" si="90"/>
        <v>0</v>
      </c>
      <c r="AV35" s="38"/>
      <c r="AW35" s="134">
        <f t="shared" si="17"/>
        <v>0</v>
      </c>
      <c r="AX35" s="60">
        <f t="shared" si="90"/>
        <v>0</v>
      </c>
      <c r="AY35" s="38">
        <f t="shared" si="90"/>
        <v>0</v>
      </c>
      <c r="AZ35" s="38"/>
      <c r="BA35" s="38">
        <f t="shared" si="90"/>
        <v>0</v>
      </c>
      <c r="BB35" s="38"/>
      <c r="BC35" s="15">
        <f t="shared" si="18"/>
        <v>0</v>
      </c>
      <c r="BD35" s="15"/>
      <c r="BE35" s="15">
        <f t="shared" si="19"/>
        <v>0</v>
      </c>
      <c r="BF35" s="15"/>
      <c r="BG35" s="16">
        <f t="shared" si="20"/>
        <v>0</v>
      </c>
      <c r="BH35" s="139">
        <f t="shared" si="90"/>
        <v>0</v>
      </c>
      <c r="BI35" s="38">
        <f t="shared" si="90"/>
        <v>0</v>
      </c>
      <c r="BJ35" s="38">
        <f t="shared" si="90"/>
        <v>0</v>
      </c>
      <c r="BK35" s="38"/>
      <c r="BL35" s="15">
        <f t="shared" si="21"/>
        <v>0</v>
      </c>
      <c r="BM35" s="15"/>
      <c r="BN35" s="16">
        <f t="shared" si="22"/>
        <v>0</v>
      </c>
      <c r="BO35" s="60">
        <f t="shared" ref="BO35:BQ35" si="91">BO36+BO37+BO39</f>
        <v>0</v>
      </c>
      <c r="BP35" s="38">
        <f t="shared" si="91"/>
        <v>0</v>
      </c>
      <c r="BQ35" s="38">
        <f t="shared" si="91"/>
        <v>0</v>
      </c>
      <c r="BR35" s="38"/>
      <c r="BS35" s="134">
        <f t="shared" si="23"/>
        <v>0</v>
      </c>
      <c r="BT35" s="60">
        <f t="shared" ref="BT35:BV35" si="92">BT36+BT37+BT39</f>
        <v>0</v>
      </c>
      <c r="BU35" s="38">
        <f t="shared" si="92"/>
        <v>0</v>
      </c>
      <c r="BV35" s="38">
        <f t="shared" si="92"/>
        <v>0</v>
      </c>
      <c r="BW35" s="38"/>
      <c r="BX35" s="16">
        <f t="shared" si="24"/>
        <v>0</v>
      </c>
      <c r="BY35" s="139">
        <f t="shared" si="90"/>
        <v>0</v>
      </c>
      <c r="BZ35" s="38">
        <f t="shared" si="90"/>
        <v>0</v>
      </c>
      <c r="CA35" s="38">
        <f t="shared" si="90"/>
        <v>0</v>
      </c>
      <c r="CB35" s="38"/>
      <c r="CC35" s="16">
        <f t="shared" si="25"/>
        <v>0</v>
      </c>
      <c r="CD35" s="139">
        <f t="shared" ref="CD35:CF35" si="93">CD36+CD37+CD39</f>
        <v>0</v>
      </c>
      <c r="CE35" s="38">
        <f t="shared" si="93"/>
        <v>0</v>
      </c>
      <c r="CF35" s="136">
        <f t="shared" si="93"/>
        <v>0</v>
      </c>
      <c r="CG35" s="60">
        <f t="shared" si="90"/>
        <v>0</v>
      </c>
      <c r="CH35" s="38">
        <f t="shared" si="90"/>
        <v>0</v>
      </c>
      <c r="CI35" s="38">
        <f t="shared" si="90"/>
        <v>0</v>
      </c>
      <c r="CJ35" s="38"/>
      <c r="CK35" s="16">
        <f t="shared" si="26"/>
        <v>0</v>
      </c>
      <c r="CL35" s="139">
        <f t="shared" si="90"/>
        <v>0</v>
      </c>
      <c r="CM35" s="38">
        <f t="shared" si="90"/>
        <v>0</v>
      </c>
      <c r="CN35" s="136">
        <f t="shared" si="90"/>
        <v>0</v>
      </c>
      <c r="CO35" s="60">
        <f t="shared" si="90"/>
        <v>0</v>
      </c>
      <c r="CP35" s="38">
        <f t="shared" si="90"/>
        <v>0</v>
      </c>
      <c r="CQ35" s="38">
        <f t="shared" si="90"/>
        <v>0</v>
      </c>
      <c r="CR35" s="38"/>
      <c r="CS35" s="15">
        <f t="shared" si="27"/>
        <v>0</v>
      </c>
      <c r="CT35" s="15"/>
      <c r="CU35" s="15">
        <f t="shared" si="28"/>
        <v>0</v>
      </c>
      <c r="CV35" s="15"/>
      <c r="CW35" s="16">
        <f t="shared" si="29"/>
        <v>0</v>
      </c>
      <c r="CX35" s="139">
        <f t="shared" si="90"/>
        <v>0</v>
      </c>
      <c r="CY35" s="38">
        <f t="shared" si="90"/>
        <v>0</v>
      </c>
      <c r="CZ35" s="38">
        <f t="shared" si="90"/>
        <v>0</v>
      </c>
      <c r="DA35" s="38"/>
      <c r="DB35" s="16">
        <f t="shared" si="30"/>
        <v>0</v>
      </c>
      <c r="DC35" s="139">
        <f t="shared" si="90"/>
        <v>0</v>
      </c>
      <c r="DD35" s="38">
        <f t="shared" si="90"/>
        <v>879</v>
      </c>
      <c r="DE35" s="38">
        <f t="shared" si="90"/>
        <v>879</v>
      </c>
      <c r="DF35" s="38">
        <v>412</v>
      </c>
      <c r="DG35" s="15">
        <f t="shared" si="31"/>
        <v>1291</v>
      </c>
      <c r="DH35" s="15">
        <v>198</v>
      </c>
      <c r="DI35" s="15">
        <f t="shared" si="32"/>
        <v>1489</v>
      </c>
      <c r="DJ35" s="15">
        <v>400</v>
      </c>
      <c r="DK35" s="15">
        <f t="shared" si="33"/>
        <v>1889</v>
      </c>
      <c r="DL35" s="15">
        <v>32456</v>
      </c>
      <c r="DM35" s="134">
        <f t="shared" si="34"/>
        <v>34345</v>
      </c>
      <c r="DN35" s="60">
        <f>DN37+DN39</f>
        <v>671752068</v>
      </c>
      <c r="DO35" s="38">
        <f t="shared" si="90"/>
        <v>35119</v>
      </c>
      <c r="DP35" s="38">
        <f>SUM(DP37:DP39)</f>
        <v>706871</v>
      </c>
      <c r="DQ35" s="38"/>
      <c r="DR35" s="38"/>
      <c r="DS35" s="38">
        <v>-34124</v>
      </c>
      <c r="DT35" s="15">
        <f t="shared" si="35"/>
        <v>672747</v>
      </c>
      <c r="DU35" s="15"/>
      <c r="DV35" s="15">
        <v>672747</v>
      </c>
      <c r="DW35" s="15"/>
      <c r="DX35" s="15">
        <v>672747</v>
      </c>
      <c r="DY35" s="15"/>
      <c r="DZ35" s="134">
        <f t="shared" si="37"/>
        <v>672747</v>
      </c>
      <c r="EA35" s="60"/>
      <c r="EB35" s="38">
        <f t="shared" si="90"/>
        <v>0</v>
      </c>
      <c r="EC35" s="38">
        <f t="shared" si="90"/>
        <v>0</v>
      </c>
      <c r="ED35" s="38"/>
      <c r="EE35" s="134">
        <f t="shared" si="38"/>
        <v>0</v>
      </c>
      <c r="EF35" s="60"/>
      <c r="EG35" s="38"/>
      <c r="EH35" s="38"/>
      <c r="EI35" s="38"/>
      <c r="EJ35" s="16">
        <f t="shared" si="39"/>
        <v>0</v>
      </c>
      <c r="EK35" s="139">
        <f t="shared" ref="EK35:EM35" si="94">EK36+EK37+EK39</f>
        <v>0</v>
      </c>
      <c r="EL35" s="38">
        <f t="shared" si="94"/>
        <v>0</v>
      </c>
      <c r="EM35" s="38">
        <f t="shared" si="94"/>
        <v>0</v>
      </c>
      <c r="EN35" s="38"/>
      <c r="EO35" s="15">
        <f t="shared" si="40"/>
        <v>0</v>
      </c>
      <c r="EP35" s="15"/>
      <c r="EQ35" s="15">
        <f t="shared" si="41"/>
        <v>0</v>
      </c>
      <c r="ER35" s="15"/>
      <c r="ES35" s="16">
        <f t="shared" si="42"/>
        <v>0</v>
      </c>
      <c r="ET35" s="139"/>
      <c r="EU35" s="38"/>
      <c r="EV35" s="38"/>
      <c r="EW35" s="51">
        <v>100000000</v>
      </c>
      <c r="EX35" s="38"/>
      <c r="EY35" s="38">
        <v>100000</v>
      </c>
      <c r="EZ35" s="51"/>
      <c r="FA35" s="38"/>
      <c r="FB35" s="38"/>
      <c r="FC35" s="38"/>
      <c r="FD35" s="134">
        <f t="shared" si="43"/>
        <v>0</v>
      </c>
      <c r="FE35" s="61"/>
      <c r="FF35" s="38"/>
      <c r="FG35" s="38"/>
      <c r="FH35" s="240">
        <f t="shared" si="79"/>
        <v>0</v>
      </c>
      <c r="FI35" s="160"/>
      <c r="FJ35" s="15">
        <f t="shared" si="0"/>
        <v>0</v>
      </c>
      <c r="FK35" s="15"/>
      <c r="FL35" s="134">
        <f t="shared" si="44"/>
        <v>0</v>
      </c>
      <c r="FM35" s="51"/>
      <c r="FN35" s="38"/>
      <c r="FO35" s="38"/>
      <c r="FP35" s="38"/>
      <c r="FQ35" s="15">
        <f t="shared" si="45"/>
        <v>0</v>
      </c>
      <c r="FR35" s="15"/>
      <c r="FS35" s="15">
        <f t="shared" si="46"/>
        <v>0</v>
      </c>
      <c r="FT35" s="160"/>
      <c r="FU35" s="15">
        <f t="shared" si="47"/>
        <v>0</v>
      </c>
      <c r="FV35" s="15"/>
      <c r="FW35" s="134">
        <f t="shared" si="64"/>
        <v>0</v>
      </c>
      <c r="FX35" s="37"/>
      <c r="FY35" s="15">
        <f t="shared" si="49"/>
        <v>0</v>
      </c>
      <c r="FZ35" s="15"/>
      <c r="GA35" s="16">
        <f t="shared" si="50"/>
        <v>0</v>
      </c>
      <c r="GB35" s="37"/>
      <c r="GC35" s="16"/>
      <c r="GD35" s="161"/>
      <c r="GE35" s="134"/>
      <c r="GF35" s="37"/>
      <c r="GG35" s="15">
        <f t="shared" si="51"/>
        <v>0</v>
      </c>
      <c r="GH35" s="15"/>
      <c r="GI35" s="16">
        <f t="shared" si="59"/>
        <v>0</v>
      </c>
      <c r="GJ35" s="161"/>
      <c r="GK35" s="134">
        <f t="shared" si="52"/>
        <v>0</v>
      </c>
      <c r="GL35" s="37"/>
      <c r="GM35" s="16"/>
      <c r="GN35" s="398">
        <f t="shared" si="80"/>
        <v>771752068</v>
      </c>
      <c r="GO35" s="113">
        <f t="shared" si="74"/>
        <v>35998</v>
      </c>
      <c r="GP35" s="113"/>
      <c r="GQ35" s="163">
        <v>807750</v>
      </c>
      <c r="GR35" s="113">
        <f t="shared" si="83"/>
        <v>-33712</v>
      </c>
      <c r="GS35" s="113">
        <f t="shared" si="53"/>
        <v>774038</v>
      </c>
      <c r="GT35" s="113">
        <f t="shared" si="84"/>
        <v>198</v>
      </c>
      <c r="GU35" s="113">
        <f t="shared" si="54"/>
        <v>774236</v>
      </c>
      <c r="GV35" s="113">
        <f t="shared" si="77"/>
        <v>400</v>
      </c>
      <c r="GW35" s="113">
        <f t="shared" si="55"/>
        <v>774636</v>
      </c>
      <c r="GX35" s="380">
        <f t="shared" si="78"/>
        <v>32456</v>
      </c>
      <c r="GY35" s="381">
        <f t="shared" si="57"/>
        <v>807092</v>
      </c>
    </row>
    <row r="36" spans="1:207" s="24" customFormat="1" ht="13.5" x14ac:dyDescent="0.2">
      <c r="A36" s="28" t="s">
        <v>28</v>
      </c>
      <c r="B36" s="67" t="s">
        <v>75</v>
      </c>
      <c r="C36" s="151">
        <v>0</v>
      </c>
      <c r="D36" s="101"/>
      <c r="E36" s="101"/>
      <c r="F36" s="101"/>
      <c r="G36" s="101"/>
      <c r="H36" s="15">
        <f t="shared" si="4"/>
        <v>0</v>
      </c>
      <c r="I36" s="15"/>
      <c r="J36" s="15">
        <f t="shared" si="5"/>
        <v>0</v>
      </c>
      <c r="K36" s="15"/>
      <c r="L36" s="15">
        <f t="shared" si="6"/>
        <v>0</v>
      </c>
      <c r="M36" s="15"/>
      <c r="N36" s="134">
        <f t="shared" si="7"/>
        <v>0</v>
      </c>
      <c r="O36" s="151">
        <v>0</v>
      </c>
      <c r="P36" s="100"/>
      <c r="Q36" s="100"/>
      <c r="R36" s="100"/>
      <c r="S36" s="15">
        <f t="shared" si="8"/>
        <v>0</v>
      </c>
      <c r="T36" s="15"/>
      <c r="U36" s="15">
        <f t="shared" si="9"/>
        <v>0</v>
      </c>
      <c r="V36" s="15"/>
      <c r="W36" s="15">
        <f t="shared" si="10"/>
        <v>0</v>
      </c>
      <c r="X36" s="15"/>
      <c r="Y36" s="134">
        <f t="shared" si="11"/>
        <v>0</v>
      </c>
      <c r="Z36" s="151">
        <v>0</v>
      </c>
      <c r="AA36" s="100"/>
      <c r="AB36" s="100"/>
      <c r="AC36" s="100"/>
      <c r="AD36" s="15">
        <f t="shared" si="12"/>
        <v>0</v>
      </c>
      <c r="AE36" s="15"/>
      <c r="AF36" s="134">
        <f t="shared" si="13"/>
        <v>0</v>
      </c>
      <c r="AG36" s="151">
        <v>0</v>
      </c>
      <c r="AH36" s="101"/>
      <c r="AI36" s="101"/>
      <c r="AJ36" s="101"/>
      <c r="AK36" s="15">
        <f t="shared" si="14"/>
        <v>0</v>
      </c>
      <c r="AL36" s="15"/>
      <c r="AM36" s="16">
        <f t="shared" si="15"/>
        <v>0</v>
      </c>
      <c r="AN36" s="143">
        <v>0</v>
      </c>
      <c r="AO36" s="100"/>
      <c r="AP36" s="100"/>
      <c r="AQ36" s="100"/>
      <c r="AR36" s="134">
        <f t="shared" si="16"/>
        <v>0</v>
      </c>
      <c r="AS36" s="151">
        <v>0</v>
      </c>
      <c r="AT36" s="101"/>
      <c r="AU36" s="101"/>
      <c r="AV36" s="101"/>
      <c r="AW36" s="134">
        <f t="shared" si="17"/>
        <v>0</v>
      </c>
      <c r="AX36" s="151">
        <v>0</v>
      </c>
      <c r="AY36" s="100"/>
      <c r="AZ36" s="100"/>
      <c r="BA36" s="100"/>
      <c r="BB36" s="100"/>
      <c r="BC36" s="15">
        <f t="shared" si="18"/>
        <v>0</v>
      </c>
      <c r="BD36" s="15"/>
      <c r="BE36" s="15">
        <f t="shared" si="19"/>
        <v>0</v>
      </c>
      <c r="BF36" s="15"/>
      <c r="BG36" s="16">
        <f t="shared" si="20"/>
        <v>0</v>
      </c>
      <c r="BH36" s="143">
        <v>0</v>
      </c>
      <c r="BI36" s="101"/>
      <c r="BJ36" s="101"/>
      <c r="BK36" s="101"/>
      <c r="BL36" s="15">
        <f t="shared" si="21"/>
        <v>0</v>
      </c>
      <c r="BM36" s="15"/>
      <c r="BN36" s="16">
        <f t="shared" si="22"/>
        <v>0</v>
      </c>
      <c r="BO36" s="151">
        <v>0</v>
      </c>
      <c r="BP36" s="100"/>
      <c r="BQ36" s="100"/>
      <c r="BR36" s="100"/>
      <c r="BS36" s="134">
        <f t="shared" si="23"/>
        <v>0</v>
      </c>
      <c r="BT36" s="151">
        <v>0</v>
      </c>
      <c r="BU36" s="100"/>
      <c r="BV36" s="100"/>
      <c r="BW36" s="100"/>
      <c r="BX36" s="16">
        <f t="shared" si="24"/>
        <v>0</v>
      </c>
      <c r="BY36" s="143">
        <v>0</v>
      </c>
      <c r="BZ36" s="100"/>
      <c r="CA36" s="100"/>
      <c r="CB36" s="100"/>
      <c r="CC36" s="16">
        <f t="shared" si="25"/>
        <v>0</v>
      </c>
      <c r="CD36" s="143">
        <v>0</v>
      </c>
      <c r="CE36" s="101"/>
      <c r="CF36" s="138"/>
      <c r="CG36" s="151">
        <v>0</v>
      </c>
      <c r="CH36" s="101"/>
      <c r="CI36" s="101"/>
      <c r="CJ36" s="101"/>
      <c r="CK36" s="16">
        <f t="shared" si="26"/>
        <v>0</v>
      </c>
      <c r="CL36" s="143">
        <v>0</v>
      </c>
      <c r="CM36" s="100"/>
      <c r="CN36" s="137"/>
      <c r="CO36" s="151">
        <v>0</v>
      </c>
      <c r="CP36" s="101"/>
      <c r="CQ36" s="101"/>
      <c r="CR36" s="101"/>
      <c r="CS36" s="15">
        <f t="shared" si="27"/>
        <v>0</v>
      </c>
      <c r="CT36" s="15"/>
      <c r="CU36" s="15">
        <f t="shared" si="28"/>
        <v>0</v>
      </c>
      <c r="CV36" s="15"/>
      <c r="CW36" s="16">
        <f t="shared" si="29"/>
        <v>0</v>
      </c>
      <c r="CX36" s="143">
        <v>0</v>
      </c>
      <c r="CY36" s="100"/>
      <c r="CZ36" s="100"/>
      <c r="DA36" s="100"/>
      <c r="DB36" s="16">
        <f t="shared" si="30"/>
        <v>0</v>
      </c>
      <c r="DC36" s="143">
        <v>0</v>
      </c>
      <c r="DD36" s="101"/>
      <c r="DE36" s="101"/>
      <c r="DF36" s="101"/>
      <c r="DG36" s="15">
        <f t="shared" si="31"/>
        <v>0</v>
      </c>
      <c r="DH36" s="15"/>
      <c r="DI36" s="15">
        <f t="shared" si="32"/>
        <v>0</v>
      </c>
      <c r="DJ36" s="15"/>
      <c r="DK36" s="15">
        <f t="shared" si="33"/>
        <v>0</v>
      </c>
      <c r="DL36" s="15"/>
      <c r="DM36" s="134">
        <f t="shared" si="34"/>
        <v>0</v>
      </c>
      <c r="DN36" s="151">
        <v>0</v>
      </c>
      <c r="DO36" s="100"/>
      <c r="DP36" s="38"/>
      <c r="DQ36" s="38"/>
      <c r="DR36" s="38"/>
      <c r="DS36" s="38"/>
      <c r="DT36" s="15">
        <f t="shared" si="35"/>
        <v>0</v>
      </c>
      <c r="DU36" s="15"/>
      <c r="DV36" s="15"/>
      <c r="DW36" s="15"/>
      <c r="DX36" s="15"/>
      <c r="DY36" s="15"/>
      <c r="DZ36" s="134">
        <f t="shared" si="37"/>
        <v>0</v>
      </c>
      <c r="EA36" s="370">
        <v>0</v>
      </c>
      <c r="EB36" s="100"/>
      <c r="EC36" s="100"/>
      <c r="ED36" s="100"/>
      <c r="EE36" s="134">
        <f t="shared" si="38"/>
        <v>0</v>
      </c>
      <c r="EF36" s="370"/>
      <c r="EG36" s="100"/>
      <c r="EH36" s="100"/>
      <c r="EI36" s="100"/>
      <c r="EJ36" s="16">
        <f t="shared" si="39"/>
        <v>0</v>
      </c>
      <c r="EK36" s="143">
        <v>0</v>
      </c>
      <c r="EL36" s="101"/>
      <c r="EM36" s="101"/>
      <c r="EN36" s="101"/>
      <c r="EO36" s="15">
        <f t="shared" si="40"/>
        <v>0</v>
      </c>
      <c r="EP36" s="15"/>
      <c r="EQ36" s="15">
        <f t="shared" si="41"/>
        <v>0</v>
      </c>
      <c r="ER36" s="15"/>
      <c r="ES36" s="16">
        <f t="shared" si="42"/>
        <v>0</v>
      </c>
      <c r="ET36" s="142"/>
      <c r="EU36" s="100"/>
      <c r="EV36" s="100"/>
      <c r="EW36" s="53"/>
      <c r="EX36" s="100"/>
      <c r="EY36" s="100"/>
      <c r="EZ36" s="53"/>
      <c r="FA36" s="100"/>
      <c r="FB36" s="100"/>
      <c r="FC36" s="100"/>
      <c r="FD36" s="134">
        <f t="shared" si="43"/>
        <v>0</v>
      </c>
      <c r="FE36" s="146"/>
      <c r="FF36" s="100"/>
      <c r="FG36" s="100"/>
      <c r="FH36" s="240">
        <f t="shared" si="79"/>
        <v>0</v>
      </c>
      <c r="FI36" s="383"/>
      <c r="FJ36" s="15">
        <f t="shared" si="0"/>
        <v>0</v>
      </c>
      <c r="FK36" s="15"/>
      <c r="FL36" s="134">
        <f t="shared" si="44"/>
        <v>0</v>
      </c>
      <c r="FM36" s="53"/>
      <c r="FN36" s="100"/>
      <c r="FO36" s="100"/>
      <c r="FP36" s="100"/>
      <c r="FQ36" s="15">
        <f t="shared" si="45"/>
        <v>0</v>
      </c>
      <c r="FR36" s="15"/>
      <c r="FS36" s="15">
        <f t="shared" si="46"/>
        <v>0</v>
      </c>
      <c r="FT36" s="383"/>
      <c r="FU36" s="15">
        <f t="shared" si="47"/>
        <v>0</v>
      </c>
      <c r="FV36" s="15"/>
      <c r="FW36" s="134">
        <f t="shared" si="64"/>
        <v>0</v>
      </c>
      <c r="FX36" s="37"/>
      <c r="FY36" s="15">
        <f t="shared" si="49"/>
        <v>0</v>
      </c>
      <c r="FZ36" s="15"/>
      <c r="GA36" s="16">
        <f t="shared" si="50"/>
        <v>0</v>
      </c>
      <c r="GB36" s="37"/>
      <c r="GC36" s="16"/>
      <c r="GD36" s="161"/>
      <c r="GE36" s="134"/>
      <c r="GF36" s="37"/>
      <c r="GG36" s="15">
        <f t="shared" si="51"/>
        <v>0</v>
      </c>
      <c r="GH36" s="15"/>
      <c r="GI36" s="16">
        <f t="shared" si="59"/>
        <v>0</v>
      </c>
      <c r="GJ36" s="161"/>
      <c r="GK36" s="134">
        <f t="shared" si="52"/>
        <v>0</v>
      </c>
      <c r="GL36" s="37"/>
      <c r="GM36" s="16"/>
      <c r="GN36" s="397">
        <f t="shared" si="80"/>
        <v>0</v>
      </c>
      <c r="GO36" s="113">
        <f t="shared" si="74"/>
        <v>0</v>
      </c>
      <c r="GP36" s="113"/>
      <c r="GQ36" s="156"/>
      <c r="GR36" s="113">
        <f t="shared" si="83"/>
        <v>0</v>
      </c>
      <c r="GS36" s="113">
        <f t="shared" si="53"/>
        <v>0</v>
      </c>
      <c r="GT36" s="113">
        <f t="shared" si="84"/>
        <v>0</v>
      </c>
      <c r="GU36" s="113">
        <f t="shared" si="54"/>
        <v>0</v>
      </c>
      <c r="GV36" s="113">
        <f t="shared" si="77"/>
        <v>0</v>
      </c>
      <c r="GW36" s="113">
        <f t="shared" si="55"/>
        <v>0</v>
      </c>
      <c r="GX36" s="380">
        <f t="shared" si="78"/>
        <v>0</v>
      </c>
      <c r="GY36" s="381">
        <f t="shared" si="57"/>
        <v>0</v>
      </c>
    </row>
    <row r="37" spans="1:207" s="29" customFormat="1" x14ac:dyDescent="0.2">
      <c r="A37" s="28" t="s">
        <v>29</v>
      </c>
      <c r="B37" s="67" t="s">
        <v>81</v>
      </c>
      <c r="C37" s="151"/>
      <c r="D37" s="101"/>
      <c r="E37" s="101"/>
      <c r="F37" s="101"/>
      <c r="G37" s="101"/>
      <c r="H37" s="15">
        <f t="shared" si="4"/>
        <v>0</v>
      </c>
      <c r="I37" s="15"/>
      <c r="J37" s="15">
        <f t="shared" si="5"/>
        <v>0</v>
      </c>
      <c r="K37" s="15"/>
      <c r="L37" s="15">
        <f t="shared" si="6"/>
        <v>0</v>
      </c>
      <c r="M37" s="15"/>
      <c r="N37" s="134">
        <f t="shared" si="7"/>
        <v>0</v>
      </c>
      <c r="O37" s="151">
        <v>0</v>
      </c>
      <c r="P37" s="101"/>
      <c r="Q37" s="101"/>
      <c r="R37" s="101"/>
      <c r="S37" s="15">
        <f t="shared" si="8"/>
        <v>0</v>
      </c>
      <c r="T37" s="15"/>
      <c r="U37" s="15">
        <f t="shared" si="9"/>
        <v>0</v>
      </c>
      <c r="V37" s="15"/>
      <c r="W37" s="15">
        <f t="shared" si="10"/>
        <v>0</v>
      </c>
      <c r="X37" s="15"/>
      <c r="Y37" s="134">
        <f t="shared" si="11"/>
        <v>0</v>
      </c>
      <c r="Z37" s="151">
        <v>0</v>
      </c>
      <c r="AA37" s="101"/>
      <c r="AB37" s="101"/>
      <c r="AC37" s="101"/>
      <c r="AD37" s="15">
        <f t="shared" si="12"/>
        <v>0</v>
      </c>
      <c r="AE37" s="15"/>
      <c r="AF37" s="134">
        <f t="shared" si="13"/>
        <v>0</v>
      </c>
      <c r="AG37" s="151">
        <v>0</v>
      </c>
      <c r="AH37" s="101"/>
      <c r="AI37" s="101"/>
      <c r="AJ37" s="101"/>
      <c r="AK37" s="15">
        <f t="shared" si="14"/>
        <v>0</v>
      </c>
      <c r="AL37" s="15"/>
      <c r="AM37" s="16">
        <f t="shared" si="15"/>
        <v>0</v>
      </c>
      <c r="AN37" s="143">
        <v>0</v>
      </c>
      <c r="AO37" s="101"/>
      <c r="AP37" s="101"/>
      <c r="AQ37" s="101"/>
      <c r="AR37" s="134">
        <f t="shared" si="16"/>
        <v>0</v>
      </c>
      <c r="AS37" s="151">
        <v>0</v>
      </c>
      <c r="AT37" s="101"/>
      <c r="AU37" s="101"/>
      <c r="AV37" s="101"/>
      <c r="AW37" s="134">
        <f t="shared" si="17"/>
        <v>0</v>
      </c>
      <c r="AX37" s="151">
        <v>0</v>
      </c>
      <c r="AY37" s="101"/>
      <c r="AZ37" s="101"/>
      <c r="BA37" s="101"/>
      <c r="BB37" s="101"/>
      <c r="BC37" s="15">
        <f t="shared" si="18"/>
        <v>0</v>
      </c>
      <c r="BD37" s="15"/>
      <c r="BE37" s="15">
        <f t="shared" si="19"/>
        <v>0</v>
      </c>
      <c r="BF37" s="15"/>
      <c r="BG37" s="16">
        <f t="shared" si="20"/>
        <v>0</v>
      </c>
      <c r="BH37" s="143">
        <v>0</v>
      </c>
      <c r="BI37" s="101"/>
      <c r="BJ37" s="101"/>
      <c r="BK37" s="101"/>
      <c r="BL37" s="15">
        <f t="shared" si="21"/>
        <v>0</v>
      </c>
      <c r="BM37" s="15"/>
      <c r="BN37" s="16">
        <f t="shared" si="22"/>
        <v>0</v>
      </c>
      <c r="BO37" s="151">
        <v>0</v>
      </c>
      <c r="BP37" s="101"/>
      <c r="BQ37" s="101"/>
      <c r="BR37" s="101"/>
      <c r="BS37" s="134">
        <f t="shared" si="23"/>
        <v>0</v>
      </c>
      <c r="BT37" s="151">
        <v>0</v>
      </c>
      <c r="BU37" s="101"/>
      <c r="BV37" s="101"/>
      <c r="BW37" s="101"/>
      <c r="BX37" s="16">
        <f t="shared" si="24"/>
        <v>0</v>
      </c>
      <c r="BY37" s="143">
        <v>0</v>
      </c>
      <c r="BZ37" s="101"/>
      <c r="CA37" s="101"/>
      <c r="CB37" s="101"/>
      <c r="CC37" s="16">
        <f t="shared" si="25"/>
        <v>0</v>
      </c>
      <c r="CD37" s="143">
        <v>0</v>
      </c>
      <c r="CE37" s="101"/>
      <c r="CF37" s="138"/>
      <c r="CG37" s="151">
        <v>0</v>
      </c>
      <c r="CH37" s="101"/>
      <c r="CI37" s="101"/>
      <c r="CJ37" s="101"/>
      <c r="CK37" s="16">
        <f t="shared" si="26"/>
        <v>0</v>
      </c>
      <c r="CL37" s="143">
        <v>0</v>
      </c>
      <c r="CM37" s="101"/>
      <c r="CN37" s="138"/>
      <c r="CO37" s="151">
        <v>0</v>
      </c>
      <c r="CP37" s="101"/>
      <c r="CQ37" s="101"/>
      <c r="CR37" s="101"/>
      <c r="CS37" s="15">
        <f t="shared" si="27"/>
        <v>0</v>
      </c>
      <c r="CT37" s="15"/>
      <c r="CU37" s="15">
        <f t="shared" si="28"/>
        <v>0</v>
      </c>
      <c r="CV37" s="15"/>
      <c r="CW37" s="16">
        <f t="shared" si="29"/>
        <v>0</v>
      </c>
      <c r="CX37" s="143">
        <v>0</v>
      </c>
      <c r="CY37" s="101"/>
      <c r="CZ37" s="101"/>
      <c r="DA37" s="101"/>
      <c r="DB37" s="16">
        <f t="shared" si="30"/>
        <v>0</v>
      </c>
      <c r="DC37" s="143">
        <v>0</v>
      </c>
      <c r="DD37" s="101"/>
      <c r="DE37" s="101"/>
      <c r="DF37" s="101"/>
      <c r="DG37" s="15">
        <f t="shared" si="31"/>
        <v>0</v>
      </c>
      <c r="DH37" s="15"/>
      <c r="DI37" s="15">
        <f t="shared" si="32"/>
        <v>0</v>
      </c>
      <c r="DJ37" s="15"/>
      <c r="DK37" s="15">
        <f t="shared" si="33"/>
        <v>0</v>
      </c>
      <c r="DL37" s="15"/>
      <c r="DM37" s="134">
        <f t="shared" si="34"/>
        <v>0</v>
      </c>
      <c r="DN37" s="151">
        <v>637628068</v>
      </c>
      <c r="DO37" s="101">
        <v>35119</v>
      </c>
      <c r="DP37" s="38">
        <v>672747</v>
      </c>
      <c r="DQ37" s="38"/>
      <c r="DR37" s="38"/>
      <c r="DS37" s="38"/>
      <c r="DT37" s="15">
        <f t="shared" si="35"/>
        <v>672747</v>
      </c>
      <c r="DU37" s="15"/>
      <c r="DV37" s="15">
        <v>672747</v>
      </c>
      <c r="DW37" s="15"/>
      <c r="DX37" s="15">
        <v>672747</v>
      </c>
      <c r="DY37" s="15"/>
      <c r="DZ37" s="134">
        <f t="shared" si="37"/>
        <v>672747</v>
      </c>
      <c r="EA37" s="151">
        <v>0</v>
      </c>
      <c r="EB37" s="101"/>
      <c r="EC37" s="101"/>
      <c r="ED37" s="101"/>
      <c r="EE37" s="134">
        <f t="shared" si="38"/>
        <v>0</v>
      </c>
      <c r="EF37" s="151"/>
      <c r="EG37" s="101"/>
      <c r="EH37" s="101"/>
      <c r="EI37" s="101"/>
      <c r="EJ37" s="16">
        <f t="shared" si="39"/>
        <v>0</v>
      </c>
      <c r="EK37" s="143">
        <v>0</v>
      </c>
      <c r="EL37" s="101"/>
      <c r="EM37" s="101"/>
      <c r="EN37" s="101"/>
      <c r="EO37" s="15">
        <f t="shared" si="40"/>
        <v>0</v>
      </c>
      <c r="EP37" s="15"/>
      <c r="EQ37" s="15">
        <f t="shared" si="41"/>
        <v>0</v>
      </c>
      <c r="ER37" s="15"/>
      <c r="ES37" s="16">
        <f t="shared" si="42"/>
        <v>0</v>
      </c>
      <c r="ET37" s="143"/>
      <c r="EU37" s="101"/>
      <c r="EV37" s="101"/>
      <c r="EW37" s="54"/>
      <c r="EX37" s="101"/>
      <c r="EY37" s="101"/>
      <c r="EZ37" s="54"/>
      <c r="FA37" s="101"/>
      <c r="FB37" s="101"/>
      <c r="FC37" s="101"/>
      <c r="FD37" s="134">
        <f t="shared" si="43"/>
        <v>0</v>
      </c>
      <c r="FE37" s="147"/>
      <c r="FF37" s="101"/>
      <c r="FG37" s="101"/>
      <c r="FH37" s="240">
        <f t="shared" si="79"/>
        <v>0</v>
      </c>
      <c r="FI37" s="384"/>
      <c r="FJ37" s="15">
        <f t="shared" si="0"/>
        <v>0</v>
      </c>
      <c r="FK37" s="15"/>
      <c r="FL37" s="134">
        <f t="shared" si="44"/>
        <v>0</v>
      </c>
      <c r="FM37" s="54"/>
      <c r="FN37" s="101"/>
      <c r="FO37" s="101"/>
      <c r="FP37" s="101"/>
      <c r="FQ37" s="15">
        <f t="shared" si="45"/>
        <v>0</v>
      </c>
      <c r="FR37" s="15"/>
      <c r="FS37" s="15">
        <f t="shared" si="46"/>
        <v>0</v>
      </c>
      <c r="FT37" s="384"/>
      <c r="FU37" s="15">
        <f t="shared" si="47"/>
        <v>0</v>
      </c>
      <c r="FV37" s="15"/>
      <c r="FW37" s="134">
        <f t="shared" si="64"/>
        <v>0</v>
      </c>
      <c r="FX37" s="37"/>
      <c r="FY37" s="15">
        <f t="shared" si="49"/>
        <v>0</v>
      </c>
      <c r="FZ37" s="15"/>
      <c r="GA37" s="16">
        <f t="shared" si="50"/>
        <v>0</v>
      </c>
      <c r="GB37" s="37"/>
      <c r="GC37" s="16"/>
      <c r="GD37" s="161"/>
      <c r="GE37" s="134"/>
      <c r="GF37" s="37"/>
      <c r="GG37" s="15">
        <f t="shared" si="51"/>
        <v>0</v>
      </c>
      <c r="GH37" s="15"/>
      <c r="GI37" s="16">
        <f t="shared" si="59"/>
        <v>0</v>
      </c>
      <c r="GJ37" s="161"/>
      <c r="GK37" s="134">
        <f t="shared" si="52"/>
        <v>0</v>
      </c>
      <c r="GL37" s="37"/>
      <c r="GM37" s="16"/>
      <c r="GN37" s="397">
        <f t="shared" si="80"/>
        <v>637628068</v>
      </c>
      <c r="GO37" s="113">
        <f t="shared" si="74"/>
        <v>35119</v>
      </c>
      <c r="GP37" s="113"/>
      <c r="GQ37" s="157">
        <v>672747</v>
      </c>
      <c r="GR37" s="113">
        <f t="shared" si="83"/>
        <v>0</v>
      </c>
      <c r="GS37" s="113">
        <f t="shared" si="53"/>
        <v>672747</v>
      </c>
      <c r="GT37" s="113">
        <f t="shared" si="84"/>
        <v>0</v>
      </c>
      <c r="GU37" s="113">
        <f t="shared" si="54"/>
        <v>672747</v>
      </c>
      <c r="GV37" s="113">
        <f t="shared" si="77"/>
        <v>0</v>
      </c>
      <c r="GW37" s="113">
        <f t="shared" si="55"/>
        <v>672747</v>
      </c>
      <c r="GX37" s="380">
        <f t="shared" si="78"/>
        <v>0</v>
      </c>
      <c r="GY37" s="381">
        <f t="shared" si="57"/>
        <v>672747</v>
      </c>
    </row>
    <row r="38" spans="1:207" s="29" customFormat="1" x14ac:dyDescent="0.2">
      <c r="A38" s="28"/>
      <c r="B38" s="67"/>
      <c r="C38" s="151"/>
      <c r="D38" s="101"/>
      <c r="E38" s="101"/>
      <c r="F38" s="101"/>
      <c r="G38" s="101"/>
      <c r="H38" s="15">
        <f t="shared" si="4"/>
        <v>0</v>
      </c>
      <c r="I38" s="15"/>
      <c r="J38" s="15">
        <f t="shared" si="5"/>
        <v>0</v>
      </c>
      <c r="K38" s="15"/>
      <c r="L38" s="15">
        <f t="shared" si="6"/>
        <v>0</v>
      </c>
      <c r="M38" s="15"/>
      <c r="N38" s="134">
        <f t="shared" si="7"/>
        <v>0</v>
      </c>
      <c r="O38" s="151"/>
      <c r="P38" s="101"/>
      <c r="Q38" s="101"/>
      <c r="R38" s="101"/>
      <c r="S38" s="15">
        <f t="shared" si="8"/>
        <v>0</v>
      </c>
      <c r="T38" s="15"/>
      <c r="U38" s="15">
        <f t="shared" si="9"/>
        <v>0</v>
      </c>
      <c r="V38" s="15"/>
      <c r="W38" s="15">
        <f t="shared" si="10"/>
        <v>0</v>
      </c>
      <c r="X38" s="15"/>
      <c r="Y38" s="134">
        <f t="shared" si="11"/>
        <v>0</v>
      </c>
      <c r="Z38" s="151"/>
      <c r="AA38" s="101"/>
      <c r="AB38" s="101"/>
      <c r="AC38" s="101"/>
      <c r="AD38" s="15">
        <f t="shared" si="12"/>
        <v>0</v>
      </c>
      <c r="AE38" s="15"/>
      <c r="AF38" s="134">
        <f t="shared" si="13"/>
        <v>0</v>
      </c>
      <c r="AG38" s="151"/>
      <c r="AH38" s="101"/>
      <c r="AI38" s="101"/>
      <c r="AJ38" s="101"/>
      <c r="AK38" s="15">
        <f t="shared" si="14"/>
        <v>0</v>
      </c>
      <c r="AL38" s="15"/>
      <c r="AM38" s="16">
        <f t="shared" si="15"/>
        <v>0</v>
      </c>
      <c r="AN38" s="143"/>
      <c r="AO38" s="101"/>
      <c r="AP38" s="101"/>
      <c r="AQ38" s="101"/>
      <c r="AR38" s="134">
        <f t="shared" si="16"/>
        <v>0</v>
      </c>
      <c r="AS38" s="151"/>
      <c r="AT38" s="101"/>
      <c r="AU38" s="101"/>
      <c r="AV38" s="101"/>
      <c r="AW38" s="134">
        <f t="shared" si="17"/>
        <v>0</v>
      </c>
      <c r="AX38" s="151"/>
      <c r="AY38" s="101"/>
      <c r="AZ38" s="101"/>
      <c r="BA38" s="101"/>
      <c r="BB38" s="101"/>
      <c r="BC38" s="15">
        <f t="shared" si="18"/>
        <v>0</v>
      </c>
      <c r="BD38" s="15"/>
      <c r="BE38" s="15">
        <f t="shared" si="19"/>
        <v>0</v>
      </c>
      <c r="BF38" s="15"/>
      <c r="BG38" s="16">
        <f t="shared" si="20"/>
        <v>0</v>
      </c>
      <c r="BH38" s="143"/>
      <c r="BI38" s="101"/>
      <c r="BJ38" s="101"/>
      <c r="BK38" s="101"/>
      <c r="BL38" s="15">
        <f t="shared" si="21"/>
        <v>0</v>
      </c>
      <c r="BM38" s="15"/>
      <c r="BN38" s="16">
        <f t="shared" si="22"/>
        <v>0</v>
      </c>
      <c r="BO38" s="151"/>
      <c r="BP38" s="101"/>
      <c r="BQ38" s="101"/>
      <c r="BR38" s="101"/>
      <c r="BS38" s="134">
        <f t="shared" si="23"/>
        <v>0</v>
      </c>
      <c r="BT38" s="151"/>
      <c r="BU38" s="101"/>
      <c r="BV38" s="101"/>
      <c r="BW38" s="101"/>
      <c r="BX38" s="16">
        <f t="shared" si="24"/>
        <v>0</v>
      </c>
      <c r="BY38" s="143"/>
      <c r="BZ38" s="101"/>
      <c r="CA38" s="101"/>
      <c r="CB38" s="101"/>
      <c r="CC38" s="16">
        <f t="shared" si="25"/>
        <v>0</v>
      </c>
      <c r="CD38" s="143"/>
      <c r="CE38" s="101"/>
      <c r="CF38" s="138"/>
      <c r="CG38" s="151"/>
      <c r="CH38" s="101"/>
      <c r="CI38" s="101"/>
      <c r="CJ38" s="101"/>
      <c r="CK38" s="16">
        <f t="shared" si="26"/>
        <v>0</v>
      </c>
      <c r="CL38" s="143"/>
      <c r="CM38" s="101"/>
      <c r="CN38" s="138"/>
      <c r="CO38" s="151"/>
      <c r="CP38" s="101"/>
      <c r="CQ38" s="101"/>
      <c r="CR38" s="101"/>
      <c r="CS38" s="15">
        <f t="shared" si="27"/>
        <v>0</v>
      </c>
      <c r="CT38" s="15"/>
      <c r="CU38" s="15">
        <f t="shared" si="28"/>
        <v>0</v>
      </c>
      <c r="CV38" s="15"/>
      <c r="CW38" s="16">
        <f t="shared" si="29"/>
        <v>0</v>
      </c>
      <c r="CX38" s="143"/>
      <c r="CY38" s="101"/>
      <c r="CZ38" s="101"/>
      <c r="DA38" s="101"/>
      <c r="DB38" s="16">
        <f t="shared" si="30"/>
        <v>0</v>
      </c>
      <c r="DC38" s="143"/>
      <c r="DD38" s="101"/>
      <c r="DE38" s="101"/>
      <c r="DF38" s="101"/>
      <c r="DG38" s="15">
        <f t="shared" si="31"/>
        <v>0</v>
      </c>
      <c r="DH38" s="15"/>
      <c r="DI38" s="15">
        <f t="shared" si="32"/>
        <v>0</v>
      </c>
      <c r="DJ38" s="15"/>
      <c r="DK38" s="15">
        <f t="shared" si="33"/>
        <v>0</v>
      </c>
      <c r="DL38" s="15"/>
      <c r="DM38" s="134">
        <f t="shared" si="34"/>
        <v>0</v>
      </c>
      <c r="DN38" s="151"/>
      <c r="DO38" s="101"/>
      <c r="DP38" s="38"/>
      <c r="DQ38" s="38"/>
      <c r="DR38" s="38"/>
      <c r="DS38" s="38"/>
      <c r="DT38" s="15">
        <f t="shared" si="35"/>
        <v>0</v>
      </c>
      <c r="DU38" s="15"/>
      <c r="DV38" s="15"/>
      <c r="DW38" s="15"/>
      <c r="DX38" s="15">
        <v>0</v>
      </c>
      <c r="DY38" s="15"/>
      <c r="DZ38" s="134">
        <f t="shared" si="37"/>
        <v>0</v>
      </c>
      <c r="EA38" s="151"/>
      <c r="EB38" s="101"/>
      <c r="EC38" s="101"/>
      <c r="ED38" s="101"/>
      <c r="EE38" s="134">
        <f t="shared" si="38"/>
        <v>0</v>
      </c>
      <c r="EF38" s="151"/>
      <c r="EG38" s="101"/>
      <c r="EH38" s="101"/>
      <c r="EI38" s="101"/>
      <c r="EJ38" s="16">
        <f t="shared" si="39"/>
        <v>0</v>
      </c>
      <c r="EK38" s="143"/>
      <c r="EL38" s="101"/>
      <c r="EM38" s="101"/>
      <c r="EN38" s="101"/>
      <c r="EO38" s="15">
        <f t="shared" si="40"/>
        <v>0</v>
      </c>
      <c r="EP38" s="15"/>
      <c r="EQ38" s="15">
        <f t="shared" si="41"/>
        <v>0</v>
      </c>
      <c r="ER38" s="15"/>
      <c r="ES38" s="16">
        <f t="shared" si="42"/>
        <v>0</v>
      </c>
      <c r="ET38" s="143"/>
      <c r="EU38" s="101"/>
      <c r="EV38" s="101"/>
      <c r="EW38" s="54"/>
      <c r="EX38" s="101"/>
      <c r="EY38" s="101"/>
      <c r="EZ38" s="54"/>
      <c r="FA38" s="101"/>
      <c r="FB38" s="101"/>
      <c r="FC38" s="101"/>
      <c r="FD38" s="134">
        <f t="shared" si="43"/>
        <v>0</v>
      </c>
      <c r="FE38" s="147"/>
      <c r="FF38" s="101"/>
      <c r="FG38" s="101"/>
      <c r="FH38" s="240">
        <f t="shared" si="79"/>
        <v>0</v>
      </c>
      <c r="FI38" s="384"/>
      <c r="FJ38" s="15">
        <f t="shared" si="0"/>
        <v>0</v>
      </c>
      <c r="FK38" s="15"/>
      <c r="FL38" s="134">
        <f t="shared" si="44"/>
        <v>0</v>
      </c>
      <c r="FM38" s="54"/>
      <c r="FN38" s="101"/>
      <c r="FO38" s="101"/>
      <c r="FP38" s="101"/>
      <c r="FQ38" s="15">
        <f t="shared" si="45"/>
        <v>0</v>
      </c>
      <c r="FR38" s="15"/>
      <c r="FS38" s="15">
        <f t="shared" si="46"/>
        <v>0</v>
      </c>
      <c r="FT38" s="384"/>
      <c r="FU38" s="15">
        <f t="shared" si="47"/>
        <v>0</v>
      </c>
      <c r="FV38" s="15"/>
      <c r="FW38" s="134">
        <f t="shared" si="64"/>
        <v>0</v>
      </c>
      <c r="FX38" s="37"/>
      <c r="FY38" s="15">
        <f t="shared" si="49"/>
        <v>0</v>
      </c>
      <c r="FZ38" s="15"/>
      <c r="GA38" s="16">
        <f t="shared" si="50"/>
        <v>0</v>
      </c>
      <c r="GB38" s="37"/>
      <c r="GC38" s="16"/>
      <c r="GD38" s="161"/>
      <c r="GE38" s="134"/>
      <c r="GF38" s="37"/>
      <c r="GG38" s="15">
        <f t="shared" si="51"/>
        <v>0</v>
      </c>
      <c r="GH38" s="15"/>
      <c r="GI38" s="16">
        <f t="shared" si="59"/>
        <v>0</v>
      </c>
      <c r="GJ38" s="161"/>
      <c r="GK38" s="134">
        <f t="shared" si="52"/>
        <v>0</v>
      </c>
      <c r="GL38" s="37"/>
      <c r="GM38" s="16"/>
      <c r="GN38" s="397"/>
      <c r="GO38" s="113">
        <f t="shared" si="74"/>
        <v>0</v>
      </c>
      <c r="GP38" s="113"/>
      <c r="GQ38" s="157"/>
      <c r="GR38" s="113">
        <f t="shared" si="83"/>
        <v>0</v>
      </c>
      <c r="GS38" s="113">
        <f t="shared" si="53"/>
        <v>0</v>
      </c>
      <c r="GT38" s="113">
        <f t="shared" si="84"/>
        <v>0</v>
      </c>
      <c r="GU38" s="113">
        <f t="shared" si="54"/>
        <v>0</v>
      </c>
      <c r="GV38" s="113">
        <f t="shared" si="77"/>
        <v>0</v>
      </c>
      <c r="GW38" s="113">
        <f t="shared" si="55"/>
        <v>0</v>
      </c>
      <c r="GX38" s="380">
        <f t="shared" si="78"/>
        <v>0</v>
      </c>
      <c r="GY38" s="381">
        <f t="shared" si="57"/>
        <v>0</v>
      </c>
    </row>
    <row r="39" spans="1:207" s="24" customFormat="1" x14ac:dyDescent="0.2">
      <c r="A39" s="28" t="s">
        <v>30</v>
      </c>
      <c r="B39" s="69" t="s">
        <v>123</v>
      </c>
      <c r="C39" s="151">
        <v>0</v>
      </c>
      <c r="D39" s="101"/>
      <c r="E39" s="101"/>
      <c r="F39" s="101"/>
      <c r="G39" s="101"/>
      <c r="H39" s="15">
        <f t="shared" si="4"/>
        <v>0</v>
      </c>
      <c r="I39" s="15"/>
      <c r="J39" s="15">
        <f t="shared" si="5"/>
        <v>0</v>
      </c>
      <c r="K39" s="15"/>
      <c r="L39" s="15">
        <f t="shared" si="6"/>
        <v>0</v>
      </c>
      <c r="M39" s="15"/>
      <c r="N39" s="134">
        <f t="shared" si="7"/>
        <v>0</v>
      </c>
      <c r="O39" s="151">
        <v>0</v>
      </c>
      <c r="P39" s="101"/>
      <c r="Q39" s="101"/>
      <c r="R39" s="101"/>
      <c r="S39" s="15">
        <f t="shared" si="8"/>
        <v>0</v>
      </c>
      <c r="T39" s="15"/>
      <c r="U39" s="15">
        <f t="shared" si="9"/>
        <v>0</v>
      </c>
      <c r="V39" s="15"/>
      <c r="W39" s="15">
        <f t="shared" si="10"/>
        <v>0</v>
      </c>
      <c r="X39" s="15"/>
      <c r="Y39" s="134">
        <f t="shared" si="11"/>
        <v>0</v>
      </c>
      <c r="Z39" s="151">
        <v>0</v>
      </c>
      <c r="AA39" s="101"/>
      <c r="AB39" s="101"/>
      <c r="AC39" s="101"/>
      <c r="AD39" s="15">
        <f t="shared" si="12"/>
        <v>0</v>
      </c>
      <c r="AE39" s="15"/>
      <c r="AF39" s="134">
        <f t="shared" si="13"/>
        <v>0</v>
      </c>
      <c r="AG39" s="151">
        <v>0</v>
      </c>
      <c r="AH39" s="101"/>
      <c r="AI39" s="101"/>
      <c r="AJ39" s="101"/>
      <c r="AK39" s="15">
        <f t="shared" si="14"/>
        <v>0</v>
      </c>
      <c r="AL39" s="15"/>
      <c r="AM39" s="16">
        <f t="shared" si="15"/>
        <v>0</v>
      </c>
      <c r="AN39" s="143">
        <v>0</v>
      </c>
      <c r="AO39" s="101"/>
      <c r="AP39" s="101"/>
      <c r="AQ39" s="101"/>
      <c r="AR39" s="134">
        <f t="shared" si="16"/>
        <v>0</v>
      </c>
      <c r="AS39" s="151">
        <v>0</v>
      </c>
      <c r="AT39" s="101"/>
      <c r="AU39" s="101"/>
      <c r="AV39" s="101"/>
      <c r="AW39" s="134">
        <f t="shared" si="17"/>
        <v>0</v>
      </c>
      <c r="AX39" s="151">
        <v>0</v>
      </c>
      <c r="AY39" s="101"/>
      <c r="AZ39" s="101"/>
      <c r="BA39" s="101"/>
      <c r="BB39" s="101"/>
      <c r="BC39" s="15">
        <f t="shared" si="18"/>
        <v>0</v>
      </c>
      <c r="BD39" s="15"/>
      <c r="BE39" s="15">
        <f t="shared" si="19"/>
        <v>0</v>
      </c>
      <c r="BF39" s="15"/>
      <c r="BG39" s="16">
        <f t="shared" si="20"/>
        <v>0</v>
      </c>
      <c r="BH39" s="143">
        <v>0</v>
      </c>
      <c r="BI39" s="101"/>
      <c r="BJ39" s="101"/>
      <c r="BK39" s="101"/>
      <c r="BL39" s="15">
        <f t="shared" si="21"/>
        <v>0</v>
      </c>
      <c r="BM39" s="15"/>
      <c r="BN39" s="16">
        <f t="shared" si="22"/>
        <v>0</v>
      </c>
      <c r="BO39" s="151">
        <v>0</v>
      </c>
      <c r="BP39" s="101"/>
      <c r="BQ39" s="101"/>
      <c r="BR39" s="101"/>
      <c r="BS39" s="134">
        <f t="shared" si="23"/>
        <v>0</v>
      </c>
      <c r="BT39" s="151">
        <v>0</v>
      </c>
      <c r="BU39" s="101"/>
      <c r="BV39" s="101"/>
      <c r="BW39" s="101"/>
      <c r="BX39" s="16">
        <f t="shared" si="24"/>
        <v>0</v>
      </c>
      <c r="BY39" s="143">
        <v>0</v>
      </c>
      <c r="BZ39" s="101"/>
      <c r="CA39" s="101"/>
      <c r="CB39" s="101"/>
      <c r="CC39" s="16">
        <f t="shared" si="25"/>
        <v>0</v>
      </c>
      <c r="CD39" s="143">
        <v>0</v>
      </c>
      <c r="CE39" s="101"/>
      <c r="CF39" s="138"/>
      <c r="CG39" s="151">
        <v>0</v>
      </c>
      <c r="CH39" s="101"/>
      <c r="CI39" s="101"/>
      <c r="CJ39" s="101"/>
      <c r="CK39" s="16">
        <f t="shared" si="26"/>
        <v>0</v>
      </c>
      <c r="CL39" s="143">
        <v>0</v>
      </c>
      <c r="CM39" s="101"/>
      <c r="CN39" s="138"/>
      <c r="CO39" s="151">
        <v>0</v>
      </c>
      <c r="CP39" s="101"/>
      <c r="CQ39" s="101"/>
      <c r="CR39" s="101"/>
      <c r="CS39" s="15">
        <f t="shared" si="27"/>
        <v>0</v>
      </c>
      <c r="CT39" s="15"/>
      <c r="CU39" s="15">
        <f t="shared" si="28"/>
        <v>0</v>
      </c>
      <c r="CV39" s="15"/>
      <c r="CW39" s="16">
        <f t="shared" si="29"/>
        <v>0</v>
      </c>
      <c r="CX39" s="143">
        <v>0</v>
      </c>
      <c r="CY39" s="101"/>
      <c r="CZ39" s="101"/>
      <c r="DA39" s="101"/>
      <c r="DB39" s="16">
        <f t="shared" si="30"/>
        <v>0</v>
      </c>
      <c r="DC39" s="143">
        <v>0</v>
      </c>
      <c r="DD39" s="101">
        <v>879</v>
      </c>
      <c r="DE39" s="101">
        <v>879</v>
      </c>
      <c r="DF39" s="101">
        <v>412</v>
      </c>
      <c r="DG39" s="15">
        <f t="shared" si="31"/>
        <v>1291</v>
      </c>
      <c r="DH39" s="15">
        <v>198</v>
      </c>
      <c r="DI39" s="15">
        <f t="shared" si="32"/>
        <v>1489</v>
      </c>
      <c r="DJ39" s="15">
        <v>400</v>
      </c>
      <c r="DK39" s="15">
        <f t="shared" si="33"/>
        <v>1889</v>
      </c>
      <c r="DL39" s="15">
        <v>32456</v>
      </c>
      <c r="DM39" s="134">
        <f t="shared" si="34"/>
        <v>34345</v>
      </c>
      <c r="DN39" s="151">
        <v>34124000</v>
      </c>
      <c r="DO39" s="101">
        <v>0</v>
      </c>
      <c r="DP39" s="38">
        <v>34124</v>
      </c>
      <c r="DQ39" s="38"/>
      <c r="DR39" s="38"/>
      <c r="DS39" s="38">
        <v>-34124</v>
      </c>
      <c r="DT39" s="15">
        <f t="shared" si="35"/>
        <v>0</v>
      </c>
      <c r="DU39" s="15"/>
      <c r="DV39" s="15"/>
      <c r="DW39" s="15"/>
      <c r="DX39" s="15"/>
      <c r="DY39" s="15"/>
      <c r="DZ39" s="134">
        <f t="shared" si="37"/>
        <v>0</v>
      </c>
      <c r="EA39" s="151"/>
      <c r="EB39" s="101"/>
      <c r="EC39" s="101"/>
      <c r="ED39" s="101"/>
      <c r="EE39" s="134">
        <f t="shared" si="38"/>
        <v>0</v>
      </c>
      <c r="EF39" s="151"/>
      <c r="EG39" s="101"/>
      <c r="EH39" s="101"/>
      <c r="EI39" s="101"/>
      <c r="EJ39" s="16">
        <f t="shared" si="39"/>
        <v>0</v>
      </c>
      <c r="EK39" s="143">
        <v>0</v>
      </c>
      <c r="EL39" s="101"/>
      <c r="EM39" s="101"/>
      <c r="EN39" s="101"/>
      <c r="EO39" s="15">
        <f t="shared" si="40"/>
        <v>0</v>
      </c>
      <c r="EP39" s="15"/>
      <c r="EQ39" s="15">
        <f t="shared" si="41"/>
        <v>0</v>
      </c>
      <c r="ER39" s="15"/>
      <c r="ES39" s="16">
        <f t="shared" si="42"/>
        <v>0</v>
      </c>
      <c r="ET39" s="143"/>
      <c r="EU39" s="101"/>
      <c r="EV39" s="101"/>
      <c r="EW39" s="54">
        <v>100000000</v>
      </c>
      <c r="EX39" s="101"/>
      <c r="EY39" s="101">
        <v>100000</v>
      </c>
      <c r="EZ39" s="54"/>
      <c r="FA39" s="101"/>
      <c r="FB39" s="101"/>
      <c r="FC39" s="101"/>
      <c r="FD39" s="134">
        <f t="shared" si="43"/>
        <v>0</v>
      </c>
      <c r="FE39" s="147"/>
      <c r="FF39" s="101"/>
      <c r="FG39" s="101"/>
      <c r="FH39" s="240">
        <f t="shared" si="79"/>
        <v>0</v>
      </c>
      <c r="FI39" s="384"/>
      <c r="FJ39" s="15">
        <f t="shared" si="0"/>
        <v>0</v>
      </c>
      <c r="FK39" s="15"/>
      <c r="FL39" s="134">
        <f t="shared" si="44"/>
        <v>0</v>
      </c>
      <c r="FM39" s="54"/>
      <c r="FN39" s="101"/>
      <c r="FO39" s="101"/>
      <c r="FP39" s="101"/>
      <c r="FQ39" s="15">
        <f t="shared" si="45"/>
        <v>0</v>
      </c>
      <c r="FR39" s="15"/>
      <c r="FS39" s="15">
        <f t="shared" si="46"/>
        <v>0</v>
      </c>
      <c r="FT39" s="384"/>
      <c r="FU39" s="15">
        <f t="shared" si="47"/>
        <v>0</v>
      </c>
      <c r="FV39" s="15"/>
      <c r="FW39" s="134">
        <f t="shared" si="64"/>
        <v>0</v>
      </c>
      <c r="FX39" s="37"/>
      <c r="FY39" s="15">
        <f t="shared" si="49"/>
        <v>0</v>
      </c>
      <c r="FZ39" s="15"/>
      <c r="GA39" s="16">
        <f t="shared" si="50"/>
        <v>0</v>
      </c>
      <c r="GB39" s="37"/>
      <c r="GC39" s="16"/>
      <c r="GD39" s="161"/>
      <c r="GE39" s="134"/>
      <c r="GF39" s="37"/>
      <c r="GG39" s="15">
        <f t="shared" si="51"/>
        <v>0</v>
      </c>
      <c r="GH39" s="15"/>
      <c r="GI39" s="16">
        <f t="shared" si="59"/>
        <v>0</v>
      </c>
      <c r="GJ39" s="161"/>
      <c r="GK39" s="134">
        <f t="shared" si="52"/>
        <v>0</v>
      </c>
      <c r="GL39" s="37"/>
      <c r="GM39" s="16"/>
      <c r="GN39" s="397">
        <f>C39+O39+Z39+AG39+AN39+AS39+AX39+BH39+BO39+BT39+BY39+CD39+CG39+CL39+CO39+CX39+DC39+DN39+EA39+EF39+EK39+ET39+EW39+EZ39+FM39</f>
        <v>134124000</v>
      </c>
      <c r="GO39" s="113">
        <f t="shared" si="74"/>
        <v>879</v>
      </c>
      <c r="GP39" s="113"/>
      <c r="GQ39" s="157">
        <v>135003</v>
      </c>
      <c r="GR39" s="113">
        <f t="shared" si="83"/>
        <v>-33712</v>
      </c>
      <c r="GS39" s="113">
        <f t="shared" si="53"/>
        <v>101291</v>
      </c>
      <c r="GT39" s="113">
        <f t="shared" si="84"/>
        <v>198</v>
      </c>
      <c r="GU39" s="113">
        <f t="shared" si="54"/>
        <v>101489</v>
      </c>
      <c r="GV39" s="113">
        <f t="shared" si="77"/>
        <v>400</v>
      </c>
      <c r="GW39" s="113">
        <f t="shared" si="55"/>
        <v>101889</v>
      </c>
      <c r="GX39" s="380">
        <f t="shared" si="78"/>
        <v>32456</v>
      </c>
      <c r="GY39" s="381">
        <f t="shared" si="57"/>
        <v>134345</v>
      </c>
    </row>
    <row r="40" spans="1:207" s="7" customFormat="1" ht="13.5" thickBot="1" x14ac:dyDescent="0.25">
      <c r="A40" s="20" t="s">
        <v>31</v>
      </c>
      <c r="B40" s="68" t="s">
        <v>56</v>
      </c>
      <c r="C40" s="60">
        <f>C35+C34+C30</f>
        <v>35514000</v>
      </c>
      <c r="D40" s="38">
        <f t="shared" ref="D40:EC40" si="95">D35+D34+D30</f>
        <v>0</v>
      </c>
      <c r="E40" s="38"/>
      <c r="F40" s="38">
        <f t="shared" si="95"/>
        <v>35514</v>
      </c>
      <c r="G40" s="38">
        <v>34124</v>
      </c>
      <c r="H40" s="15">
        <f t="shared" si="4"/>
        <v>69638</v>
      </c>
      <c r="I40" s="15">
        <f>SUM(I30+I33)</f>
        <v>-4100</v>
      </c>
      <c r="J40" s="15">
        <f t="shared" si="5"/>
        <v>65538</v>
      </c>
      <c r="K40" s="15"/>
      <c r="L40" s="15">
        <f t="shared" si="6"/>
        <v>65538</v>
      </c>
      <c r="M40" s="15">
        <f>M30+M34</f>
        <v>2222</v>
      </c>
      <c r="N40" s="134">
        <f t="shared" si="7"/>
        <v>67760</v>
      </c>
      <c r="O40" s="60">
        <f t="shared" si="95"/>
        <v>60517000</v>
      </c>
      <c r="P40" s="38">
        <f t="shared" si="95"/>
        <v>8619</v>
      </c>
      <c r="Q40" s="38">
        <f t="shared" si="95"/>
        <v>69136</v>
      </c>
      <c r="R40" s="38">
        <v>2111</v>
      </c>
      <c r="S40" s="15">
        <f t="shared" si="8"/>
        <v>71247</v>
      </c>
      <c r="T40" s="15">
        <v>2324</v>
      </c>
      <c r="U40" s="15">
        <f t="shared" si="9"/>
        <v>73571</v>
      </c>
      <c r="V40" s="15">
        <v>144</v>
      </c>
      <c r="W40" s="15">
        <f t="shared" si="10"/>
        <v>73715</v>
      </c>
      <c r="X40" s="15">
        <f>X30+X34</f>
        <v>18718</v>
      </c>
      <c r="Y40" s="134">
        <f t="shared" si="11"/>
        <v>92433</v>
      </c>
      <c r="Z40" s="60">
        <f t="shared" si="95"/>
        <v>0</v>
      </c>
      <c r="AA40" s="38">
        <f t="shared" si="95"/>
        <v>0</v>
      </c>
      <c r="AB40" s="38">
        <f t="shared" si="95"/>
        <v>0</v>
      </c>
      <c r="AC40" s="38"/>
      <c r="AD40" s="15">
        <f t="shared" si="12"/>
        <v>0</v>
      </c>
      <c r="AE40" s="15"/>
      <c r="AF40" s="134">
        <f t="shared" si="13"/>
        <v>0</v>
      </c>
      <c r="AG40" s="269">
        <f t="shared" si="95"/>
        <v>315004280</v>
      </c>
      <c r="AH40" s="367">
        <f t="shared" si="95"/>
        <v>0</v>
      </c>
      <c r="AI40" s="367">
        <f t="shared" si="95"/>
        <v>315004</v>
      </c>
      <c r="AJ40" s="367">
        <v>12082</v>
      </c>
      <c r="AK40" s="250">
        <f t="shared" si="14"/>
        <v>327086</v>
      </c>
      <c r="AL40" s="250">
        <v>54094</v>
      </c>
      <c r="AM40" s="16">
        <f t="shared" si="15"/>
        <v>381180</v>
      </c>
      <c r="AN40" s="139">
        <f t="shared" si="95"/>
        <v>0</v>
      </c>
      <c r="AO40" s="38">
        <f t="shared" si="95"/>
        <v>0</v>
      </c>
      <c r="AP40" s="38">
        <f t="shared" si="95"/>
        <v>0</v>
      </c>
      <c r="AQ40" s="38"/>
      <c r="AR40" s="134">
        <f t="shared" si="16"/>
        <v>0</v>
      </c>
      <c r="AS40" s="60">
        <f t="shared" si="95"/>
        <v>0</v>
      </c>
      <c r="AT40" s="38">
        <f t="shared" si="95"/>
        <v>0</v>
      </c>
      <c r="AU40" s="38">
        <f t="shared" si="95"/>
        <v>0</v>
      </c>
      <c r="AV40" s="38"/>
      <c r="AW40" s="134">
        <f t="shared" si="17"/>
        <v>0</v>
      </c>
      <c r="AX40" s="60">
        <f t="shared" si="95"/>
        <v>10719000</v>
      </c>
      <c r="AY40" s="38">
        <f t="shared" si="95"/>
        <v>0</v>
      </c>
      <c r="AZ40" s="38"/>
      <c r="BA40" s="38">
        <f t="shared" si="95"/>
        <v>10719</v>
      </c>
      <c r="BB40" s="38">
        <v>1062</v>
      </c>
      <c r="BC40" s="15">
        <f t="shared" si="18"/>
        <v>11781</v>
      </c>
      <c r="BD40" s="15">
        <v>2623</v>
      </c>
      <c r="BE40" s="15">
        <f t="shared" si="19"/>
        <v>14404</v>
      </c>
      <c r="BF40" s="15">
        <v>1735</v>
      </c>
      <c r="BG40" s="16">
        <f t="shared" si="20"/>
        <v>16139</v>
      </c>
      <c r="BH40" s="139">
        <f t="shared" si="95"/>
        <v>0</v>
      </c>
      <c r="BI40" s="38">
        <f t="shared" si="95"/>
        <v>0</v>
      </c>
      <c r="BJ40" s="38">
        <f t="shared" si="95"/>
        <v>0</v>
      </c>
      <c r="BK40" s="38">
        <v>3745</v>
      </c>
      <c r="BL40" s="15">
        <f t="shared" si="21"/>
        <v>3745</v>
      </c>
      <c r="BM40" s="15"/>
      <c r="BN40" s="16">
        <f t="shared" si="22"/>
        <v>3745</v>
      </c>
      <c r="BO40" s="269">
        <f t="shared" ref="BO40:BQ40" si="96">BO35+BO34+BO30</f>
        <v>0</v>
      </c>
      <c r="BP40" s="367">
        <f t="shared" si="96"/>
        <v>1800</v>
      </c>
      <c r="BQ40" s="367">
        <f t="shared" si="96"/>
        <v>1800</v>
      </c>
      <c r="BR40" s="367">
        <v>455</v>
      </c>
      <c r="BS40" s="134">
        <f t="shared" si="23"/>
        <v>2255</v>
      </c>
      <c r="BT40" s="60">
        <f t="shared" ref="BT40:BV40" si="97">BT35+BT34+BT30</f>
        <v>0</v>
      </c>
      <c r="BU40" s="38">
        <f t="shared" si="97"/>
        <v>0</v>
      </c>
      <c r="BV40" s="38">
        <f t="shared" si="97"/>
        <v>0</v>
      </c>
      <c r="BW40" s="38"/>
      <c r="BX40" s="16">
        <f t="shared" si="24"/>
        <v>0</v>
      </c>
      <c r="BY40" s="139">
        <f t="shared" si="95"/>
        <v>26162000</v>
      </c>
      <c r="BZ40" s="38">
        <f t="shared" si="95"/>
        <v>0</v>
      </c>
      <c r="CA40" s="38">
        <f t="shared" si="95"/>
        <v>26162</v>
      </c>
      <c r="CB40" s="38">
        <v>356</v>
      </c>
      <c r="CC40" s="16">
        <f t="shared" si="25"/>
        <v>26518</v>
      </c>
      <c r="CD40" s="139">
        <f t="shared" ref="CD40:CF40" si="98">CD35+CD34+CD30</f>
        <v>0</v>
      </c>
      <c r="CE40" s="38">
        <f t="shared" si="98"/>
        <v>0</v>
      </c>
      <c r="CF40" s="136">
        <f t="shared" si="98"/>
        <v>0</v>
      </c>
      <c r="CG40" s="60">
        <f t="shared" si="95"/>
        <v>927100</v>
      </c>
      <c r="CH40" s="38">
        <f t="shared" si="95"/>
        <v>0</v>
      </c>
      <c r="CI40" s="38">
        <f t="shared" si="95"/>
        <v>927</v>
      </c>
      <c r="CJ40" s="38">
        <v>272</v>
      </c>
      <c r="CK40" s="16">
        <f t="shared" si="26"/>
        <v>1199</v>
      </c>
      <c r="CL40" s="139">
        <f t="shared" si="95"/>
        <v>0</v>
      </c>
      <c r="CM40" s="38">
        <f t="shared" si="95"/>
        <v>0</v>
      </c>
      <c r="CN40" s="136">
        <f t="shared" si="95"/>
        <v>0</v>
      </c>
      <c r="CO40" s="60">
        <f t="shared" si="95"/>
        <v>400000</v>
      </c>
      <c r="CP40" s="38">
        <f t="shared" si="95"/>
        <v>0</v>
      </c>
      <c r="CQ40" s="38">
        <f t="shared" si="95"/>
        <v>400</v>
      </c>
      <c r="CR40" s="38"/>
      <c r="CS40" s="15">
        <f t="shared" si="27"/>
        <v>400</v>
      </c>
      <c r="CT40" s="15">
        <v>14</v>
      </c>
      <c r="CU40" s="15">
        <f t="shared" si="28"/>
        <v>414</v>
      </c>
      <c r="CV40" s="15">
        <v>9</v>
      </c>
      <c r="CW40" s="16">
        <f t="shared" si="29"/>
        <v>423</v>
      </c>
      <c r="CX40" s="139">
        <f t="shared" si="95"/>
        <v>0</v>
      </c>
      <c r="CY40" s="38">
        <f t="shared" si="95"/>
        <v>0</v>
      </c>
      <c r="CZ40" s="38">
        <f t="shared" si="95"/>
        <v>0</v>
      </c>
      <c r="DA40" s="38"/>
      <c r="DB40" s="16">
        <f t="shared" si="30"/>
        <v>0</v>
      </c>
      <c r="DC40" s="139">
        <f t="shared" si="95"/>
        <v>966861275</v>
      </c>
      <c r="DD40" s="38">
        <f t="shared" si="95"/>
        <v>5621</v>
      </c>
      <c r="DE40" s="38">
        <f t="shared" si="95"/>
        <v>972482</v>
      </c>
      <c r="DF40" s="38">
        <f>DF30+DF35</f>
        <v>14395</v>
      </c>
      <c r="DG40" s="15">
        <f t="shared" si="31"/>
        <v>986877</v>
      </c>
      <c r="DH40" s="15">
        <f>DH30+DH34+DH35</f>
        <v>15116</v>
      </c>
      <c r="DI40" s="15">
        <f t="shared" si="32"/>
        <v>1001993</v>
      </c>
      <c r="DJ40" s="15">
        <f>DJ30+DJ35</f>
        <v>1178</v>
      </c>
      <c r="DK40" s="15">
        <f t="shared" si="33"/>
        <v>1003171</v>
      </c>
      <c r="DL40" s="15">
        <f>DL26+DL34+DL35</f>
        <v>71209</v>
      </c>
      <c r="DM40" s="134">
        <f t="shared" si="34"/>
        <v>1074380</v>
      </c>
      <c r="DN40" s="60">
        <f>DN35+DN34+DN30</f>
        <v>671752068</v>
      </c>
      <c r="DO40" s="38">
        <f t="shared" si="95"/>
        <v>35119</v>
      </c>
      <c r="DP40" s="38">
        <f>DP35</f>
        <v>706871</v>
      </c>
      <c r="DQ40" s="38"/>
      <c r="DR40" s="38"/>
      <c r="DS40" s="38">
        <v>-34124</v>
      </c>
      <c r="DT40" s="15">
        <f t="shared" si="35"/>
        <v>672747</v>
      </c>
      <c r="DU40" s="15"/>
      <c r="DV40" s="15">
        <v>672747</v>
      </c>
      <c r="DW40" s="15"/>
      <c r="DX40" s="15">
        <v>672747</v>
      </c>
      <c r="DY40" s="15"/>
      <c r="DZ40" s="134">
        <f t="shared" si="37"/>
        <v>672747</v>
      </c>
      <c r="EA40" s="60">
        <f t="shared" si="95"/>
        <v>1700000</v>
      </c>
      <c r="EB40" s="38">
        <f t="shared" si="95"/>
        <v>500</v>
      </c>
      <c r="EC40" s="38">
        <f t="shared" si="95"/>
        <v>2200</v>
      </c>
      <c r="ED40" s="38">
        <v>3600</v>
      </c>
      <c r="EE40" s="134">
        <f t="shared" si="38"/>
        <v>5800</v>
      </c>
      <c r="EF40" s="60"/>
      <c r="EG40" s="38"/>
      <c r="EH40" s="38"/>
      <c r="EI40" s="38"/>
      <c r="EJ40" s="16">
        <f t="shared" si="39"/>
        <v>0</v>
      </c>
      <c r="EK40" s="139">
        <f t="shared" ref="EK40:FO40" si="99">EK35+EK34+EK30</f>
        <v>8800000</v>
      </c>
      <c r="EL40" s="38">
        <f t="shared" si="99"/>
        <v>63</v>
      </c>
      <c r="EM40" s="38">
        <f t="shared" si="99"/>
        <v>8863</v>
      </c>
      <c r="EN40" s="38">
        <v>25</v>
      </c>
      <c r="EO40" s="15">
        <f t="shared" si="40"/>
        <v>8888</v>
      </c>
      <c r="EP40" s="15">
        <v>54</v>
      </c>
      <c r="EQ40" s="15">
        <f t="shared" si="41"/>
        <v>8942</v>
      </c>
      <c r="ER40" s="15">
        <v>42</v>
      </c>
      <c r="ES40" s="16">
        <f t="shared" si="42"/>
        <v>8984</v>
      </c>
      <c r="ET40" s="139">
        <f t="shared" si="99"/>
        <v>0</v>
      </c>
      <c r="EU40" s="38">
        <f t="shared" si="99"/>
        <v>0</v>
      </c>
      <c r="EV40" s="38">
        <f t="shared" si="99"/>
        <v>0</v>
      </c>
      <c r="EW40" s="51">
        <f t="shared" si="99"/>
        <v>100000000</v>
      </c>
      <c r="EX40" s="38">
        <f t="shared" si="99"/>
        <v>0</v>
      </c>
      <c r="EY40" s="38">
        <f t="shared" si="99"/>
        <v>100000</v>
      </c>
      <c r="EZ40" s="51">
        <f t="shared" si="99"/>
        <v>0</v>
      </c>
      <c r="FA40" s="38">
        <f t="shared" si="99"/>
        <v>0</v>
      </c>
      <c r="FB40" s="38">
        <f t="shared" si="99"/>
        <v>0</v>
      </c>
      <c r="FC40" s="38"/>
      <c r="FD40" s="134">
        <f t="shared" si="43"/>
        <v>0</v>
      </c>
      <c r="FE40" s="61">
        <v>19402</v>
      </c>
      <c r="FF40" s="38">
        <v>19402</v>
      </c>
      <c r="FG40" s="38"/>
      <c r="FH40" s="240">
        <f t="shared" si="79"/>
        <v>19402</v>
      </c>
      <c r="FI40" s="160">
        <f>FI30+FI34</f>
        <v>40560</v>
      </c>
      <c r="FJ40" s="15">
        <f t="shared" si="0"/>
        <v>40560</v>
      </c>
      <c r="FK40" s="15">
        <v>0</v>
      </c>
      <c r="FL40" s="134">
        <f t="shared" si="44"/>
        <v>40560</v>
      </c>
      <c r="FM40" s="51">
        <f t="shared" si="99"/>
        <v>0</v>
      </c>
      <c r="FN40" s="38">
        <f t="shared" si="99"/>
        <v>0</v>
      </c>
      <c r="FO40" s="38">
        <f t="shared" si="99"/>
        <v>0</v>
      </c>
      <c r="FP40" s="38"/>
      <c r="FQ40" s="15">
        <f t="shared" si="45"/>
        <v>0</v>
      </c>
      <c r="FR40" s="15"/>
      <c r="FS40" s="15">
        <f t="shared" si="46"/>
        <v>0</v>
      </c>
      <c r="FT40" s="160">
        <v>56773</v>
      </c>
      <c r="FU40" s="15">
        <f t="shared" si="47"/>
        <v>56773</v>
      </c>
      <c r="FV40" s="15"/>
      <c r="FW40" s="134">
        <f t="shared" si="64"/>
        <v>56773</v>
      </c>
      <c r="FX40" s="37"/>
      <c r="FY40" s="15">
        <f t="shared" si="49"/>
        <v>0</v>
      </c>
      <c r="FZ40" s="15"/>
      <c r="GA40" s="16">
        <f t="shared" si="50"/>
        <v>0</v>
      </c>
      <c r="GB40" s="37"/>
      <c r="GC40" s="16"/>
      <c r="GD40" s="161"/>
      <c r="GE40" s="134"/>
      <c r="GF40" s="37"/>
      <c r="GG40" s="15">
        <f t="shared" si="51"/>
        <v>0</v>
      </c>
      <c r="GH40" s="15"/>
      <c r="GI40" s="16">
        <f t="shared" si="59"/>
        <v>0</v>
      </c>
      <c r="GJ40" s="161">
        <v>10000</v>
      </c>
      <c r="GK40" s="134">
        <f t="shared" si="52"/>
        <v>10000</v>
      </c>
      <c r="GL40" s="37"/>
      <c r="GM40" s="16"/>
      <c r="GN40" s="398">
        <f>C40+O40+Z40+AG40+AN40+AS40+AX40+BH40+BO40+BT40+BY40+CD40+CG40+CL40+CO40+CX40+DC40+DN40+EA40+EF40+EK40+ET40+EW40+EZ40+FM40</f>
        <v>2198356723</v>
      </c>
      <c r="GO40" s="113">
        <f>GO30+GO34+GO35</f>
        <v>71124</v>
      </c>
      <c r="GP40" s="113"/>
      <c r="GQ40" s="154">
        <v>2267181</v>
      </c>
      <c r="GR40" s="113">
        <f>GR30+GR34+GR35</f>
        <v>60836</v>
      </c>
      <c r="GS40" s="113">
        <f t="shared" si="53"/>
        <v>2328017</v>
      </c>
      <c r="GT40" s="113">
        <f>GT30+GT34+GT35</f>
        <v>72989</v>
      </c>
      <c r="GU40" s="113">
        <f t="shared" si="54"/>
        <v>2401006</v>
      </c>
      <c r="GV40" s="113">
        <f t="shared" si="77"/>
        <v>16081</v>
      </c>
      <c r="GW40" s="113">
        <f t="shared" si="55"/>
        <v>2417087</v>
      </c>
      <c r="GX40" s="380">
        <f>GX30+GX34+GX35</f>
        <v>162712</v>
      </c>
      <c r="GY40" s="381">
        <f t="shared" si="57"/>
        <v>2579799</v>
      </c>
    </row>
    <row r="41" spans="1:207" ht="13.5" thickBot="1" x14ac:dyDescent="0.25">
      <c r="A41" s="23" t="s">
        <v>32</v>
      </c>
      <c r="B41" s="70" t="s">
        <v>33</v>
      </c>
      <c r="C41" s="269">
        <v>1</v>
      </c>
      <c r="D41" s="153"/>
      <c r="E41" s="153"/>
      <c r="F41" s="153"/>
      <c r="G41" s="153"/>
      <c r="H41" s="250">
        <f t="shared" si="4"/>
        <v>0</v>
      </c>
      <c r="I41" s="250"/>
      <c r="J41" s="250">
        <f t="shared" si="5"/>
        <v>0</v>
      </c>
      <c r="K41" s="250"/>
      <c r="L41" s="250">
        <f t="shared" si="6"/>
        <v>0</v>
      </c>
      <c r="M41" s="250"/>
      <c r="N41" s="134">
        <f t="shared" si="7"/>
        <v>0</v>
      </c>
      <c r="O41" s="363"/>
      <c r="P41" s="153"/>
      <c r="Q41" s="153"/>
      <c r="R41" s="153"/>
      <c r="S41" s="153"/>
      <c r="T41" s="153"/>
      <c r="U41" s="153"/>
      <c r="V41" s="153"/>
      <c r="W41" s="250">
        <f t="shared" si="10"/>
        <v>0</v>
      </c>
      <c r="X41" s="250"/>
      <c r="Y41" s="134">
        <f t="shared" si="11"/>
        <v>0</v>
      </c>
      <c r="Z41" s="152"/>
      <c r="AA41" s="153"/>
      <c r="AB41" s="153"/>
      <c r="AC41" s="153"/>
      <c r="AD41" s="250">
        <f t="shared" si="12"/>
        <v>0</v>
      </c>
      <c r="AE41" s="250"/>
      <c r="AF41" s="16">
        <f t="shared" si="13"/>
        <v>0</v>
      </c>
      <c r="AG41" s="372"/>
      <c r="AH41" s="373"/>
      <c r="AI41" s="373"/>
      <c r="AJ41" s="373"/>
      <c r="AK41" s="374"/>
      <c r="AL41" s="375"/>
      <c r="AM41" s="375"/>
      <c r="AN41" s="152"/>
      <c r="AO41" s="270"/>
      <c r="AP41" s="270"/>
      <c r="AQ41" s="270"/>
      <c r="AR41" s="134">
        <f t="shared" si="16"/>
        <v>0</v>
      </c>
      <c r="AS41" s="152"/>
      <c r="AT41" s="270"/>
      <c r="AU41" s="270"/>
      <c r="AV41" s="270"/>
      <c r="AW41" s="134">
        <f t="shared" si="17"/>
        <v>0</v>
      </c>
      <c r="AX41" s="269">
        <v>1</v>
      </c>
      <c r="AY41" s="153"/>
      <c r="AZ41" s="153"/>
      <c r="BA41" s="153"/>
      <c r="BB41" s="153"/>
      <c r="BC41" s="250">
        <f t="shared" si="18"/>
        <v>0</v>
      </c>
      <c r="BD41" s="250"/>
      <c r="BE41" s="250">
        <f t="shared" si="19"/>
        <v>0</v>
      </c>
      <c r="BF41" s="250"/>
      <c r="BG41" s="16">
        <f t="shared" si="20"/>
        <v>0</v>
      </c>
      <c r="BH41" s="272"/>
      <c r="BI41" s="153"/>
      <c r="BJ41" s="153"/>
      <c r="BK41" s="153"/>
      <c r="BL41" s="153"/>
      <c r="BM41" s="153"/>
      <c r="BN41" s="16">
        <f t="shared" si="22"/>
        <v>0</v>
      </c>
      <c r="BO41" s="365">
        <v>0</v>
      </c>
      <c r="BP41" s="366"/>
      <c r="BQ41" s="366"/>
      <c r="BR41" s="366"/>
      <c r="BS41" s="371"/>
      <c r="BT41" s="269">
        <v>0</v>
      </c>
      <c r="BU41" s="270"/>
      <c r="BV41" s="270"/>
      <c r="BW41" s="270"/>
      <c r="BX41" s="271"/>
      <c r="BY41" s="272"/>
      <c r="BZ41" s="270"/>
      <c r="CA41" s="270"/>
      <c r="CB41" s="270"/>
      <c r="CC41" s="16">
        <f t="shared" si="25"/>
        <v>0</v>
      </c>
      <c r="CD41" s="78"/>
      <c r="CE41" s="71"/>
      <c r="CF41" s="149"/>
      <c r="CG41" s="152"/>
      <c r="CH41" s="270"/>
      <c r="CI41" s="270"/>
      <c r="CJ41" s="270"/>
      <c r="CK41" s="16">
        <f t="shared" si="26"/>
        <v>0</v>
      </c>
      <c r="CL41" s="78"/>
      <c r="CM41" s="71"/>
      <c r="CN41" s="149"/>
      <c r="CO41" s="152"/>
      <c r="CP41" s="153"/>
      <c r="CQ41" s="153"/>
      <c r="CR41" s="153"/>
      <c r="CS41" s="250">
        <f t="shared" si="27"/>
        <v>0</v>
      </c>
      <c r="CT41" s="250"/>
      <c r="CU41" s="250">
        <f t="shared" si="28"/>
        <v>0</v>
      </c>
      <c r="CV41" s="250"/>
      <c r="CW41" s="16">
        <f t="shared" si="29"/>
        <v>0</v>
      </c>
      <c r="CX41" s="272"/>
      <c r="CY41" s="270"/>
      <c r="CZ41" s="270"/>
      <c r="DA41" s="270"/>
      <c r="DB41" s="16">
        <f t="shared" si="30"/>
        <v>0</v>
      </c>
      <c r="DC41" s="272"/>
      <c r="DD41" s="153"/>
      <c r="DE41" s="153"/>
      <c r="DF41" s="153"/>
      <c r="DG41" s="153"/>
      <c r="DH41" s="153"/>
      <c r="DI41" s="250">
        <f t="shared" si="32"/>
        <v>0</v>
      </c>
      <c r="DJ41" s="250"/>
      <c r="DK41" s="250">
        <f t="shared" si="33"/>
        <v>0</v>
      </c>
      <c r="DL41" s="250"/>
      <c r="DM41" s="134">
        <f t="shared" si="34"/>
        <v>0</v>
      </c>
      <c r="DN41" s="152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34">
        <f t="shared" si="37"/>
        <v>0</v>
      </c>
      <c r="EA41" s="152"/>
      <c r="EB41" s="270"/>
      <c r="EC41" s="270"/>
      <c r="ED41" s="270"/>
      <c r="EE41" s="368"/>
      <c r="EF41" s="152"/>
      <c r="EG41" s="270"/>
      <c r="EH41" s="270"/>
      <c r="EI41" s="270"/>
      <c r="EJ41" s="271"/>
      <c r="EK41" s="272"/>
      <c r="EL41" s="153"/>
      <c r="EM41" s="153"/>
      <c r="EN41" s="153"/>
      <c r="EO41" s="250">
        <f t="shared" si="40"/>
        <v>0</v>
      </c>
      <c r="EP41" s="250"/>
      <c r="EQ41" s="250">
        <f t="shared" si="41"/>
        <v>0</v>
      </c>
      <c r="ER41" s="250"/>
      <c r="ES41" s="16">
        <f t="shared" si="42"/>
        <v>0</v>
      </c>
      <c r="ET41" s="78"/>
      <c r="EU41" s="71"/>
      <c r="EV41" s="71"/>
      <c r="EW41" s="71"/>
      <c r="EX41" s="71"/>
      <c r="EY41" s="71"/>
      <c r="EZ41" s="71"/>
      <c r="FA41" s="71"/>
      <c r="FB41" s="71"/>
      <c r="FC41" s="71"/>
      <c r="FD41" s="149"/>
      <c r="FE41" s="148"/>
      <c r="FF41" s="153"/>
      <c r="FG41" s="153"/>
      <c r="FH41" s="240">
        <f t="shared" si="79"/>
        <v>0</v>
      </c>
      <c r="FI41" s="385"/>
      <c r="FJ41" s="250">
        <f t="shared" si="0"/>
        <v>0</v>
      </c>
      <c r="FK41" s="250"/>
      <c r="FL41" s="134">
        <f t="shared" si="44"/>
        <v>0</v>
      </c>
      <c r="FM41" s="71"/>
      <c r="FN41" s="71"/>
      <c r="FO41" s="71"/>
      <c r="FP41" s="71"/>
      <c r="FQ41" s="15">
        <f t="shared" si="45"/>
        <v>0</v>
      </c>
      <c r="FR41" s="15"/>
      <c r="FS41" s="15"/>
      <c r="FT41" s="272"/>
      <c r="FU41" s="250">
        <f t="shared" si="47"/>
        <v>0</v>
      </c>
      <c r="FV41" s="250"/>
      <c r="FW41" s="134">
        <f t="shared" si="64"/>
        <v>0</v>
      </c>
      <c r="FX41" s="296"/>
      <c r="FY41" s="250">
        <f t="shared" si="49"/>
        <v>0</v>
      </c>
      <c r="FZ41" s="250"/>
      <c r="GA41" s="162"/>
      <c r="GB41" s="296"/>
      <c r="GC41" s="162"/>
      <c r="GD41" s="161"/>
      <c r="GE41" s="134"/>
      <c r="GF41" s="296"/>
      <c r="GG41" s="250">
        <f t="shared" si="51"/>
        <v>0</v>
      </c>
      <c r="GH41" s="250"/>
      <c r="GI41" s="16">
        <f t="shared" si="59"/>
        <v>0</v>
      </c>
      <c r="GJ41" s="386"/>
      <c r="GK41" s="134">
        <f t="shared" si="52"/>
        <v>0</v>
      </c>
      <c r="GL41" s="296"/>
      <c r="GM41" s="162"/>
      <c r="GN41" s="399">
        <v>2</v>
      </c>
      <c r="GO41" s="273"/>
      <c r="GP41" s="273"/>
      <c r="GQ41" s="273"/>
      <c r="GR41" s="274"/>
      <c r="GS41" s="169">
        <f t="shared" si="53"/>
        <v>0</v>
      </c>
      <c r="GT41" s="169">
        <f>I41+T41+AA41+AT41+BB41+BP41+BZ41+CH41+CT41+CY41+DH41+EB41+EU41+FP41+FT41+FX41+GF41</f>
        <v>0</v>
      </c>
      <c r="GU41" s="169">
        <f t="shared" si="54"/>
        <v>0</v>
      </c>
      <c r="GV41" s="169">
        <f>K41+AC41+AJ41+BD41+DJ41+EP41</f>
        <v>0</v>
      </c>
      <c r="GW41" s="169">
        <v>2</v>
      </c>
      <c r="GX41" s="380">
        <f t="shared" si="78"/>
        <v>0</v>
      </c>
      <c r="GY41" s="381">
        <f t="shared" si="57"/>
        <v>2</v>
      </c>
    </row>
    <row r="42" spans="1:207" x14ac:dyDescent="0.2"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77"/>
      <c r="P42" s="11"/>
      <c r="Q42" s="11"/>
      <c r="R42" s="11"/>
      <c r="S42" s="11"/>
      <c r="T42" s="11"/>
      <c r="U42" s="11"/>
      <c r="V42" s="11"/>
      <c r="W42" s="11"/>
      <c r="X42" s="11"/>
      <c r="Y42" s="11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FM42" s="1" t="s">
        <v>161</v>
      </c>
    </row>
    <row r="43" spans="1:207" x14ac:dyDescent="0.2"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P43" s="4"/>
      <c r="Q43" s="4"/>
      <c r="R43" s="4"/>
      <c r="S43" s="4"/>
      <c r="T43" s="4"/>
      <c r="U43" s="4"/>
      <c r="V43" s="4"/>
      <c r="W43" s="4"/>
      <c r="X43" s="4"/>
      <c r="Y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</row>
    <row r="44" spans="1:207" x14ac:dyDescent="0.2"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P44" s="4"/>
      <c r="Q44" s="4"/>
      <c r="R44" s="4"/>
      <c r="S44" s="4"/>
      <c r="T44" s="4"/>
      <c r="U44" s="4"/>
      <c r="V44" s="4"/>
      <c r="W44" s="4"/>
      <c r="X44" s="4"/>
      <c r="Y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FM44" s="1">
        <v>1588</v>
      </c>
      <c r="FO44" s="1" t="s">
        <v>160</v>
      </c>
    </row>
    <row r="45" spans="1:207" x14ac:dyDescent="0.2"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P45" s="4"/>
      <c r="Q45" s="4"/>
      <c r="R45" s="4"/>
      <c r="S45" s="4"/>
      <c r="T45" s="4"/>
      <c r="U45" s="4"/>
      <c r="V45" s="4"/>
      <c r="W45" s="4"/>
      <c r="X45" s="4"/>
      <c r="Y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FM45" s="1">
        <f>38000</f>
        <v>38000</v>
      </c>
      <c r="FO45" s="1" t="s">
        <v>162</v>
      </c>
    </row>
    <row r="46" spans="1:207" x14ac:dyDescent="0.2">
      <c r="B46" s="2" t="s">
        <v>34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P46" s="4"/>
      <c r="Q46" s="4"/>
      <c r="R46" s="4"/>
      <c r="S46" s="4"/>
      <c r="T46" s="4"/>
      <c r="U46" s="4"/>
      <c r="V46" s="4"/>
      <c r="W46" s="4"/>
      <c r="X46" s="4"/>
      <c r="Y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FM46" s="1">
        <f>SUM(FM43:FM45)</f>
        <v>39588</v>
      </c>
    </row>
    <row r="47" spans="1:207" x14ac:dyDescent="0.2"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P47" s="4"/>
      <c r="Q47" s="4"/>
      <c r="R47" s="4"/>
      <c r="S47" s="4"/>
      <c r="T47" s="4"/>
      <c r="U47" s="4"/>
      <c r="V47" s="4"/>
      <c r="W47" s="4"/>
      <c r="X47" s="4"/>
      <c r="Y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</row>
    <row r="48" spans="1:207" x14ac:dyDescent="0.2">
      <c r="B48" s="2"/>
    </row>
    <row r="49" spans="2:171" x14ac:dyDescent="0.2">
      <c r="B49" s="2"/>
      <c r="DO49" s="32"/>
    </row>
    <row r="50" spans="2:171" x14ac:dyDescent="0.2">
      <c r="B50" s="2"/>
      <c r="FM50" s="1" t="s">
        <v>164</v>
      </c>
    </row>
    <row r="51" spans="2:171" x14ac:dyDescent="0.2">
      <c r="B51" s="2"/>
      <c r="FM51" s="1">
        <v>13000</v>
      </c>
      <c r="FO51" s="1" t="s">
        <v>163</v>
      </c>
    </row>
    <row r="52" spans="2:171" x14ac:dyDescent="0.2">
      <c r="FM52" s="1">
        <v>25513</v>
      </c>
      <c r="FO52" s="1" t="s">
        <v>165</v>
      </c>
    </row>
    <row r="53" spans="2:171" x14ac:dyDescent="0.2">
      <c r="FM53" s="1">
        <v>1409</v>
      </c>
      <c r="FO53" s="1" t="s">
        <v>166</v>
      </c>
    </row>
    <row r="54" spans="2:171" x14ac:dyDescent="0.2">
      <c r="FM54" s="1">
        <f>SUM(FM51:FM53)</f>
        <v>39922</v>
      </c>
    </row>
  </sheetData>
  <mergeCells count="248">
    <mergeCell ref="GL4:GM4"/>
    <mergeCell ref="GL5:GL6"/>
    <mergeCell ref="GM5:GM6"/>
    <mergeCell ref="GN4:GY4"/>
    <mergeCell ref="GX5:GX6"/>
    <mergeCell ref="GY5:GY6"/>
    <mergeCell ref="BF5:BF6"/>
    <mergeCell ref="BG5:BG6"/>
    <mergeCell ref="BY4:CC4"/>
    <mergeCell ref="CB5:CB6"/>
    <mergeCell ref="CC5:CC6"/>
    <mergeCell ref="CG4:CK4"/>
    <mergeCell ref="CJ5:CJ6"/>
    <mergeCell ref="CK5:CK6"/>
    <mergeCell ref="CX4:DB4"/>
    <mergeCell ref="DA5:DA6"/>
    <mergeCell ref="DB5:DB6"/>
    <mergeCell ref="BT4:BX4"/>
    <mergeCell ref="BW5:BW6"/>
    <mergeCell ref="BX5:BX6"/>
    <mergeCell ref="FX4:GA4"/>
    <mergeCell ref="FZ5:FZ6"/>
    <mergeCell ref="GA5:GA6"/>
    <mergeCell ref="DM5:DM6"/>
    <mergeCell ref="DY5:DY6"/>
    <mergeCell ref="DZ5:DZ6"/>
    <mergeCell ref="CL5:CL6"/>
    <mergeCell ref="BU5:BU6"/>
    <mergeCell ref="CG5:CG6"/>
    <mergeCell ref="BY5:BY6"/>
    <mergeCell ref="CO4:CW4"/>
    <mergeCell ref="CV5:CV6"/>
    <mergeCell ref="CW5:CW6"/>
    <mergeCell ref="DC4:DM4"/>
    <mergeCell ref="DL5:DL6"/>
    <mergeCell ref="DD5:DD6"/>
    <mergeCell ref="Z4:AF4"/>
    <mergeCell ref="AE5:AE6"/>
    <mergeCell ref="AF5:AF6"/>
    <mergeCell ref="BO4:BS4"/>
    <mergeCell ref="BR5:BR6"/>
    <mergeCell ref="BS5:BS6"/>
    <mergeCell ref="AN4:AR4"/>
    <mergeCell ref="AQ5:AQ6"/>
    <mergeCell ref="AR5:AR6"/>
    <mergeCell ref="AS4:AW4"/>
    <mergeCell ref="AV5:AV6"/>
    <mergeCell ref="AW5:AW6"/>
    <mergeCell ref="AX4:BG4"/>
    <mergeCell ref="BD5:BD6"/>
    <mergeCell ref="BE5:BE6"/>
    <mergeCell ref="AG4:AM4"/>
    <mergeCell ref="AL5:AL6"/>
    <mergeCell ref="AM5:AM6"/>
    <mergeCell ref="BH4:BN4"/>
    <mergeCell ref="BM5:BM6"/>
    <mergeCell ref="BN5:BN6"/>
    <mergeCell ref="GS5:GS6"/>
    <mergeCell ref="G5:G6"/>
    <mergeCell ref="H5:H6"/>
    <mergeCell ref="FI5:FI6"/>
    <mergeCell ref="FJ5:FJ6"/>
    <mergeCell ref="EZ4:FD4"/>
    <mergeCell ref="FC5:FC6"/>
    <mergeCell ref="FD5:FD6"/>
    <mergeCell ref="R5:R6"/>
    <mergeCell ref="S5:S6"/>
    <mergeCell ref="DF5:DF6"/>
    <mergeCell ref="DG5:DG6"/>
    <mergeCell ref="DS5:DS6"/>
    <mergeCell ref="GR5:GR6"/>
    <mergeCell ref="FO5:FO6"/>
    <mergeCell ref="ET5:ET6"/>
    <mergeCell ref="EU5:EU6"/>
    <mergeCell ref="GP5:GP6"/>
    <mergeCell ref="CH5:CH6"/>
    <mergeCell ref="CX5:CX6"/>
    <mergeCell ref="O4:Y4"/>
    <mergeCell ref="GO5:GO6"/>
    <mergeCell ref="GQ5:GQ6"/>
    <mergeCell ref="DN4:DZ4"/>
    <mergeCell ref="GJ5:GJ6"/>
    <mergeCell ref="GK5:GK6"/>
    <mergeCell ref="EK4:ES4"/>
    <mergeCell ref="ER5:ER6"/>
    <mergeCell ref="ES5:ES6"/>
    <mergeCell ref="EF4:EJ4"/>
    <mergeCell ref="EI5:EI6"/>
    <mergeCell ref="EJ5:EJ6"/>
    <mergeCell ref="GG5:GG6"/>
    <mergeCell ref="FT4:FW4"/>
    <mergeCell ref="FV5:FV6"/>
    <mergeCell ref="FW5:FW6"/>
    <mergeCell ref="GB4:GC4"/>
    <mergeCell ref="GB5:GB6"/>
    <mergeCell ref="GC5:GC6"/>
    <mergeCell ref="FE4:FH4"/>
    <mergeCell ref="FG5:FG6"/>
    <mergeCell ref="FH5:FH6"/>
    <mergeCell ref="GF4:GI4"/>
    <mergeCell ref="GH5:GH6"/>
    <mergeCell ref="GI5:GI6"/>
    <mergeCell ref="FK5:FK6"/>
    <mergeCell ref="FL5:FL6"/>
    <mergeCell ref="GN5:GN6"/>
    <mergeCell ref="EA4:EE4"/>
    <mergeCell ref="EE5:EE6"/>
    <mergeCell ref="ED5:ED6"/>
    <mergeCell ref="EW4:EY4"/>
    <mergeCell ref="ET4:EV4"/>
    <mergeCell ref="EN5:EN6"/>
    <mergeCell ref="EO5:EO6"/>
    <mergeCell ref="EK5:EK6"/>
    <mergeCell ref="EL5:EL6"/>
    <mergeCell ref="EM5:EM6"/>
    <mergeCell ref="EZ5:EZ6"/>
    <mergeCell ref="FA5:FA6"/>
    <mergeCell ref="FB5:FB6"/>
    <mergeCell ref="GF5:GF6"/>
    <mergeCell ref="EF5:EF6"/>
    <mergeCell ref="FM5:FM6"/>
    <mergeCell ref="EW5:EW6"/>
    <mergeCell ref="EY5:EY6"/>
    <mergeCell ref="EP5:EP6"/>
    <mergeCell ref="FN5:FN6"/>
    <mergeCell ref="EH5:EH6"/>
    <mergeCell ref="FI4:FL4"/>
    <mergeCell ref="GJ4:GK4"/>
    <mergeCell ref="GV5:GV6"/>
    <mergeCell ref="GW5:GW6"/>
    <mergeCell ref="F5:F6"/>
    <mergeCell ref="DW5:DW6"/>
    <mergeCell ref="DX5:DX6"/>
    <mergeCell ref="AX5:AX6"/>
    <mergeCell ref="AY5:AY6"/>
    <mergeCell ref="BK5:BK6"/>
    <mergeCell ref="BL5:BL6"/>
    <mergeCell ref="CI5:CI6"/>
    <mergeCell ref="BC5:BC6"/>
    <mergeCell ref="BH5:BH6"/>
    <mergeCell ref="BI5:BI6"/>
    <mergeCell ref="BJ5:BJ6"/>
    <mergeCell ref="AU5:AU6"/>
    <mergeCell ref="BZ5:BZ6"/>
    <mergeCell ref="V5:V6"/>
    <mergeCell ref="W5:W6"/>
    <mergeCell ref="I5:I6"/>
    <mergeCell ref="J5:J6"/>
    <mergeCell ref="EV5:EV6"/>
    <mergeCell ref="DT5:DT6"/>
    <mergeCell ref="EX5:EX6"/>
    <mergeCell ref="FE5:FE6"/>
    <mergeCell ref="AN3:CQ3"/>
    <mergeCell ref="DR5:DR6"/>
    <mergeCell ref="DQ5:DQ6"/>
    <mergeCell ref="AN5:AN6"/>
    <mergeCell ref="CY5:CY6"/>
    <mergeCell ref="CZ5:CZ6"/>
    <mergeCell ref="CR5:CR6"/>
    <mergeCell ref="CS5:CS6"/>
    <mergeCell ref="BV5:BV6"/>
    <mergeCell ref="BO5:BO6"/>
    <mergeCell ref="BP5:BP6"/>
    <mergeCell ref="CM5:CM6"/>
    <mergeCell ref="CL4:CN4"/>
    <mergeCell ref="BQ5:BQ6"/>
    <mergeCell ref="CD4:CF4"/>
    <mergeCell ref="CD5:CD6"/>
    <mergeCell ref="CE5:CE6"/>
    <mergeCell ref="DC3:GQ3"/>
    <mergeCell ref="FF5:FF6"/>
    <mergeCell ref="BA5:BA6"/>
    <mergeCell ref="AZ5:AZ6"/>
    <mergeCell ref="AS5:AS6"/>
    <mergeCell ref="AT5:AT6"/>
    <mergeCell ref="EG5:EG6"/>
    <mergeCell ref="A24:B24"/>
    <mergeCell ref="B1:Z1"/>
    <mergeCell ref="A3:B6"/>
    <mergeCell ref="Q5:Q6"/>
    <mergeCell ref="O5:O6"/>
    <mergeCell ref="P5:P6"/>
    <mergeCell ref="C3:AI3"/>
    <mergeCell ref="AB5:AB6"/>
    <mergeCell ref="Z5:Z6"/>
    <mergeCell ref="AI5:AI6"/>
    <mergeCell ref="AG5:AG6"/>
    <mergeCell ref="AH5:AH6"/>
    <mergeCell ref="AA5:AA6"/>
    <mergeCell ref="D5:D6"/>
    <mergeCell ref="E5:E6"/>
    <mergeCell ref="K5:K6"/>
    <mergeCell ref="L5:L6"/>
    <mergeCell ref="A7:B7"/>
    <mergeCell ref="C5:C6"/>
    <mergeCell ref="A8:B8"/>
    <mergeCell ref="AC5:AC6"/>
    <mergeCell ref="N5:N6"/>
    <mergeCell ref="X5:X6"/>
    <mergeCell ref="Y5:Y6"/>
    <mergeCell ref="GT5:GT6"/>
    <mergeCell ref="GU5:GU6"/>
    <mergeCell ref="T5:T6"/>
    <mergeCell ref="U5:U6"/>
    <mergeCell ref="DH5:DH6"/>
    <mergeCell ref="DI5:DI6"/>
    <mergeCell ref="FP5:FP6"/>
    <mergeCell ref="FQ5:FQ6"/>
    <mergeCell ref="FX5:FX6"/>
    <mergeCell ref="FY5:FY6"/>
    <mergeCell ref="FT5:FT6"/>
    <mergeCell ref="FU5:FU6"/>
    <mergeCell ref="BB5:BB6"/>
    <mergeCell ref="CA5:CA6"/>
    <mergeCell ref="CN5:CN6"/>
    <mergeCell ref="AO5:AO6"/>
    <mergeCell ref="EC5:EC6"/>
    <mergeCell ref="DN5:DN6"/>
    <mergeCell ref="DO5:DO6"/>
    <mergeCell ref="DP5:DP6"/>
    <mergeCell ref="EA5:EA6"/>
    <mergeCell ref="DJ5:DJ6"/>
    <mergeCell ref="DK5:DK6"/>
    <mergeCell ref="EQ5:EQ6"/>
    <mergeCell ref="C4:N4"/>
    <mergeCell ref="M5:M6"/>
    <mergeCell ref="AD5:AD6"/>
    <mergeCell ref="CT5:CT6"/>
    <mergeCell ref="GD4:GE4"/>
    <mergeCell ref="GD5:GD6"/>
    <mergeCell ref="GE5:GE6"/>
    <mergeCell ref="AJ5:AJ6"/>
    <mergeCell ref="AK5:AK6"/>
    <mergeCell ref="DU5:DU6"/>
    <mergeCell ref="DV5:DV6"/>
    <mergeCell ref="CO5:CO6"/>
    <mergeCell ref="CP5:CP6"/>
    <mergeCell ref="CQ5:CQ6"/>
    <mergeCell ref="CU5:CU6"/>
    <mergeCell ref="BT5:BT6"/>
    <mergeCell ref="CF5:CF6"/>
    <mergeCell ref="AP5:AP6"/>
    <mergeCell ref="EB5:EB6"/>
    <mergeCell ref="DE5:DE6"/>
    <mergeCell ref="DC5:DC6"/>
    <mergeCell ref="FM4:FS4"/>
    <mergeCell ref="FR5:FR6"/>
    <mergeCell ref="FS5:FS6"/>
  </mergeCells>
  <phoneticPr fontId="2" type="noConversion"/>
  <printOptions horizontalCentered="1"/>
  <pageMargins left="0.19685039370078741" right="0.23622047244094491" top="0.43307086614173229" bottom="0.27559055118110237" header="0.27559055118110237" footer="0.15748031496062992"/>
  <pageSetup paperSize="8" scale="65" firstPageNumber="0" orientation="landscape" r:id="rId1"/>
  <headerFooter alignWithMargins="0">
    <oddHeader>&amp;CAbony Város Önkormányzata&amp;R3. sz. melléklet</oddHeader>
  </headerFooter>
  <colBreaks count="6" manualBreakCount="6">
    <brk id="25" max="40" man="1"/>
    <brk id="39" max="1048575" man="1"/>
    <brk id="81" max="40" man="1"/>
    <brk id="101" max="40" man="1"/>
    <brk id="135" max="40" man="1"/>
    <brk id="160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46"/>
  <sheetViews>
    <sheetView zoomScale="78" zoomScaleNormal="78" zoomScaleSheetLayoutView="100" workbookViewId="0">
      <pane xSplit="2" ySplit="7" topLeftCell="AG14" activePane="bottomRight" state="frozen"/>
      <selection pane="topRight" activeCell="C1" sqref="C1"/>
      <selection pane="bottomLeft" activeCell="A8" sqref="A8"/>
      <selection pane="bottomRight" activeCell="AV39" sqref="AV39"/>
    </sheetView>
  </sheetViews>
  <sheetFormatPr defaultColWidth="9.140625" defaultRowHeight="12.75" x14ac:dyDescent="0.2"/>
  <cols>
    <col min="1" max="1" width="3.140625" bestFit="1" customWidth="1"/>
    <col min="2" max="2" width="44.140625" customWidth="1"/>
    <col min="3" max="3" width="9.42578125" style="1" customWidth="1"/>
    <col min="4" max="4" width="7.85546875" style="1" customWidth="1"/>
    <col min="5" max="7" width="8.42578125" style="1" customWidth="1"/>
    <col min="8" max="8" width="9.42578125" style="1" customWidth="1"/>
    <col min="9" max="9" width="8.42578125" style="1" customWidth="1"/>
    <col min="10" max="16" width="8.85546875" style="1" customWidth="1"/>
    <col min="17" max="17" width="12" style="1" bestFit="1" customWidth="1"/>
    <col min="18" max="18" width="8.28515625" style="1" customWidth="1"/>
    <col min="19" max="25" width="9.42578125" style="1" customWidth="1"/>
    <col min="26" max="26" width="9.140625" style="1"/>
    <col min="27" max="27" width="8.7109375" style="1" customWidth="1"/>
    <col min="28" max="41" width="9.140625" style="1"/>
    <col min="42" max="42" width="8.85546875" style="1" customWidth="1"/>
    <col min="43" max="16384" width="9.140625" style="1"/>
  </cols>
  <sheetData>
    <row r="1" spans="1:49" x14ac:dyDescent="0.2">
      <c r="A1" s="1"/>
      <c r="B1" s="430"/>
      <c r="C1" s="430"/>
      <c r="D1" s="430"/>
      <c r="E1" s="430"/>
      <c r="F1" s="430"/>
      <c r="G1" s="430"/>
      <c r="H1" s="430"/>
      <c r="I1" s="430"/>
      <c r="J1" s="430"/>
      <c r="K1" s="121"/>
      <c r="L1" s="121"/>
      <c r="M1" s="253"/>
      <c r="N1" s="253"/>
      <c r="O1" s="309"/>
      <c r="P1" s="309"/>
    </row>
    <row r="2" spans="1:49" ht="12.75" customHeight="1" thickBot="1" x14ac:dyDescent="0.25">
      <c r="A2" s="1"/>
      <c r="B2" s="1"/>
      <c r="S2" s="2"/>
      <c r="T2" s="2"/>
      <c r="U2" s="2"/>
      <c r="V2" s="2"/>
      <c r="W2" s="2"/>
      <c r="X2" s="2"/>
      <c r="Y2" s="2"/>
      <c r="AQ2" s="2" t="s">
        <v>0</v>
      </c>
    </row>
    <row r="3" spans="1:49" ht="12.75" customHeight="1" thickBot="1" x14ac:dyDescent="0.25">
      <c r="A3" s="523" t="s">
        <v>1</v>
      </c>
      <c r="B3" s="524"/>
      <c r="C3" s="527">
        <v>775641</v>
      </c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528"/>
      <c r="AH3" s="528"/>
      <c r="AI3" s="528"/>
      <c r="AJ3" s="528"/>
      <c r="AK3" s="528"/>
      <c r="AL3" s="528"/>
      <c r="AM3" s="528"/>
      <c r="AN3" s="528"/>
      <c r="AO3" s="528"/>
      <c r="AP3" s="528"/>
      <c r="AQ3" s="528"/>
      <c r="AR3" s="528"/>
      <c r="AS3" s="528"/>
    </row>
    <row r="4" spans="1:49" s="3" customFormat="1" ht="32.25" customHeight="1" x14ac:dyDescent="0.2">
      <c r="A4" s="525"/>
      <c r="B4" s="526"/>
      <c r="C4" s="536" t="s">
        <v>83</v>
      </c>
      <c r="D4" s="537"/>
      <c r="E4" s="537"/>
      <c r="F4" s="537"/>
      <c r="G4" s="537"/>
      <c r="H4" s="536" t="s">
        <v>84</v>
      </c>
      <c r="I4" s="537"/>
      <c r="J4" s="537"/>
      <c r="K4" s="537"/>
      <c r="L4" s="537"/>
      <c r="M4" s="537"/>
      <c r="N4" s="537"/>
      <c r="O4" s="537"/>
      <c r="P4" s="537"/>
      <c r="Q4" s="536" t="s">
        <v>85</v>
      </c>
      <c r="R4" s="537"/>
      <c r="S4" s="537"/>
      <c r="T4" s="537"/>
      <c r="U4" s="537"/>
      <c r="V4" s="537"/>
      <c r="W4" s="537"/>
      <c r="X4" s="537"/>
      <c r="Y4" s="537"/>
      <c r="Z4" s="536" t="s">
        <v>86</v>
      </c>
      <c r="AA4" s="537"/>
      <c r="AB4" s="537"/>
      <c r="AC4" s="537"/>
      <c r="AD4" s="537"/>
      <c r="AE4" s="537"/>
      <c r="AF4" s="537"/>
      <c r="AG4" s="537"/>
      <c r="AH4" s="538"/>
      <c r="AI4" s="529" t="s">
        <v>106</v>
      </c>
      <c r="AJ4" s="530"/>
      <c r="AK4" s="531"/>
      <c r="AL4" s="532" t="s">
        <v>107</v>
      </c>
      <c r="AM4" s="530"/>
      <c r="AN4" s="533"/>
      <c r="AO4" s="486" t="s">
        <v>87</v>
      </c>
      <c r="AP4" s="487"/>
      <c r="AQ4" s="487"/>
      <c r="AR4" s="487"/>
      <c r="AS4" s="487"/>
      <c r="AT4" s="487"/>
      <c r="AU4" s="487"/>
      <c r="AV4" s="487"/>
      <c r="AW4" s="488"/>
    </row>
    <row r="5" spans="1:49" ht="12.75" customHeight="1" x14ac:dyDescent="0.2">
      <c r="A5" s="525"/>
      <c r="B5" s="526"/>
      <c r="C5" s="450" t="s">
        <v>36</v>
      </c>
      <c r="D5" s="451" t="s">
        <v>131</v>
      </c>
      <c r="E5" s="451" t="s">
        <v>145</v>
      </c>
      <c r="F5" s="464" t="s">
        <v>174</v>
      </c>
      <c r="G5" s="466" t="s">
        <v>177</v>
      </c>
      <c r="H5" s="450" t="s">
        <v>36</v>
      </c>
      <c r="I5" s="451" t="s">
        <v>131</v>
      </c>
      <c r="J5" s="451" t="s">
        <v>130</v>
      </c>
      <c r="K5" s="451" t="s">
        <v>144</v>
      </c>
      <c r="L5" s="451" t="s">
        <v>168</v>
      </c>
      <c r="M5" s="451" t="s">
        <v>174</v>
      </c>
      <c r="N5" s="451" t="s">
        <v>174</v>
      </c>
      <c r="O5" s="464" t="s">
        <v>176</v>
      </c>
      <c r="P5" s="466" t="s">
        <v>177</v>
      </c>
      <c r="Q5" s="450" t="s">
        <v>36</v>
      </c>
      <c r="R5" s="451" t="s">
        <v>131</v>
      </c>
      <c r="S5" s="451" t="s">
        <v>130</v>
      </c>
      <c r="T5" s="451" t="s">
        <v>144</v>
      </c>
      <c r="U5" s="451" t="s">
        <v>168</v>
      </c>
      <c r="V5" s="451" t="s">
        <v>174</v>
      </c>
      <c r="W5" s="451" t="s">
        <v>175</v>
      </c>
      <c r="X5" s="464" t="s">
        <v>176</v>
      </c>
      <c r="Y5" s="466" t="s">
        <v>177</v>
      </c>
      <c r="Z5" s="450" t="s">
        <v>36</v>
      </c>
      <c r="AA5" s="451" t="s">
        <v>131</v>
      </c>
      <c r="AB5" s="451" t="s">
        <v>130</v>
      </c>
      <c r="AC5" s="451" t="s">
        <v>144</v>
      </c>
      <c r="AD5" s="451" t="s">
        <v>168</v>
      </c>
      <c r="AE5" s="451" t="s">
        <v>174</v>
      </c>
      <c r="AF5" s="451" t="s">
        <v>175</v>
      </c>
      <c r="AG5" s="464" t="s">
        <v>176</v>
      </c>
      <c r="AH5" s="460" t="s">
        <v>177</v>
      </c>
      <c r="AI5" s="472" t="s">
        <v>36</v>
      </c>
      <c r="AJ5" s="451" t="s">
        <v>131</v>
      </c>
      <c r="AK5" s="476" t="s">
        <v>175</v>
      </c>
      <c r="AL5" s="450" t="s">
        <v>36</v>
      </c>
      <c r="AM5" s="451" t="s">
        <v>131</v>
      </c>
      <c r="AN5" s="477" t="s">
        <v>175</v>
      </c>
      <c r="AO5" s="450" t="s">
        <v>36</v>
      </c>
      <c r="AP5" s="451" t="s">
        <v>131</v>
      </c>
      <c r="AQ5" s="451" t="s">
        <v>130</v>
      </c>
      <c r="AR5" s="459" t="s">
        <v>144</v>
      </c>
      <c r="AS5" s="459" t="s">
        <v>168</v>
      </c>
      <c r="AT5" s="459" t="s">
        <v>174</v>
      </c>
      <c r="AU5" s="459" t="s">
        <v>175</v>
      </c>
      <c r="AV5" s="455" t="s">
        <v>176</v>
      </c>
      <c r="AW5" s="457" t="s">
        <v>177</v>
      </c>
    </row>
    <row r="6" spans="1:49" x14ac:dyDescent="0.2">
      <c r="A6" s="525"/>
      <c r="B6" s="526"/>
      <c r="C6" s="450"/>
      <c r="D6" s="451"/>
      <c r="E6" s="451"/>
      <c r="F6" s="465"/>
      <c r="G6" s="467"/>
      <c r="H6" s="450"/>
      <c r="I6" s="451"/>
      <c r="J6" s="451"/>
      <c r="K6" s="451"/>
      <c r="L6" s="451"/>
      <c r="M6" s="451"/>
      <c r="N6" s="451"/>
      <c r="O6" s="465"/>
      <c r="P6" s="467"/>
      <c r="Q6" s="450"/>
      <c r="R6" s="451"/>
      <c r="S6" s="451"/>
      <c r="T6" s="451"/>
      <c r="U6" s="451"/>
      <c r="V6" s="451"/>
      <c r="W6" s="451"/>
      <c r="X6" s="465"/>
      <c r="Y6" s="467"/>
      <c r="Z6" s="450"/>
      <c r="AA6" s="451"/>
      <c r="AB6" s="451"/>
      <c r="AC6" s="451"/>
      <c r="AD6" s="451"/>
      <c r="AE6" s="451"/>
      <c r="AF6" s="451"/>
      <c r="AG6" s="465"/>
      <c r="AH6" s="461"/>
      <c r="AI6" s="472"/>
      <c r="AJ6" s="451"/>
      <c r="AK6" s="476"/>
      <c r="AL6" s="450"/>
      <c r="AM6" s="451"/>
      <c r="AN6" s="477"/>
      <c r="AO6" s="450"/>
      <c r="AP6" s="451"/>
      <c r="AQ6" s="451"/>
      <c r="AR6" s="459"/>
      <c r="AS6" s="459"/>
      <c r="AT6" s="459"/>
      <c r="AU6" s="459"/>
      <c r="AV6" s="456"/>
      <c r="AW6" s="458"/>
    </row>
    <row r="7" spans="1:49" x14ac:dyDescent="0.2">
      <c r="A7" s="534">
        <v>1</v>
      </c>
      <c r="B7" s="535"/>
      <c r="C7" s="254">
        <v>2</v>
      </c>
      <c r="D7" s="126">
        <v>3</v>
      </c>
      <c r="E7" s="126">
        <v>4</v>
      </c>
      <c r="F7" s="126"/>
      <c r="G7" s="255"/>
      <c r="H7" s="310">
        <v>5</v>
      </c>
      <c r="I7" s="126">
        <v>6</v>
      </c>
      <c r="J7" s="126">
        <v>7</v>
      </c>
      <c r="K7" s="126"/>
      <c r="L7" s="126"/>
      <c r="M7" s="126"/>
      <c r="N7" s="126"/>
      <c r="O7" s="126"/>
      <c r="P7" s="311"/>
      <c r="Q7" s="310">
        <v>8</v>
      </c>
      <c r="R7" s="126">
        <v>9</v>
      </c>
      <c r="S7" s="126">
        <v>10</v>
      </c>
      <c r="T7" s="126"/>
      <c r="U7" s="126"/>
      <c r="V7" s="126"/>
      <c r="W7" s="126"/>
      <c r="X7" s="126"/>
      <c r="Y7" s="311"/>
      <c r="Z7" s="310">
        <v>11</v>
      </c>
      <c r="AA7" s="126">
        <v>12</v>
      </c>
      <c r="AB7" s="126">
        <v>13</v>
      </c>
      <c r="AC7" s="126"/>
      <c r="AD7" s="126"/>
      <c r="AE7" s="126"/>
      <c r="AF7" s="126"/>
      <c r="AG7" s="126"/>
      <c r="AH7" s="22"/>
      <c r="AI7" s="122">
        <v>14</v>
      </c>
      <c r="AJ7" s="126">
        <v>15</v>
      </c>
      <c r="AK7" s="22">
        <v>16</v>
      </c>
      <c r="AL7" s="205">
        <v>17</v>
      </c>
      <c r="AM7" s="126">
        <v>18</v>
      </c>
      <c r="AN7" s="255">
        <v>19</v>
      </c>
      <c r="AO7" s="310">
        <v>20</v>
      </c>
      <c r="AP7" s="126">
        <v>21</v>
      </c>
      <c r="AQ7" s="126">
        <v>22</v>
      </c>
      <c r="AR7" s="110"/>
      <c r="AS7" s="110"/>
      <c r="AT7" s="110"/>
      <c r="AU7" s="110"/>
      <c r="AV7" s="110"/>
      <c r="AW7" s="123"/>
    </row>
    <row r="8" spans="1:49" ht="14.25" x14ac:dyDescent="0.2">
      <c r="A8" s="497" t="s">
        <v>57</v>
      </c>
      <c r="B8" s="498"/>
      <c r="C8" s="102"/>
      <c r="D8" s="12"/>
      <c r="E8" s="12"/>
      <c r="F8" s="12"/>
      <c r="G8" s="105"/>
      <c r="H8" s="102"/>
      <c r="I8" s="12"/>
      <c r="J8" s="12"/>
      <c r="K8" s="12"/>
      <c r="L8" s="12"/>
      <c r="M8" s="12"/>
      <c r="N8" s="12"/>
      <c r="O8" s="12"/>
      <c r="P8" s="105"/>
      <c r="Q8" s="102"/>
      <c r="R8" s="12"/>
      <c r="S8" s="12"/>
      <c r="T8" s="12"/>
      <c r="U8" s="12"/>
      <c r="V8" s="12"/>
      <c r="W8" s="12"/>
      <c r="X8" s="12"/>
      <c r="Y8" s="105"/>
      <c r="Z8" s="102"/>
      <c r="AA8" s="12"/>
      <c r="AB8" s="12"/>
      <c r="AC8" s="12"/>
      <c r="AD8" s="12"/>
      <c r="AE8" s="12"/>
      <c r="AF8" s="12"/>
      <c r="AG8" s="12"/>
      <c r="AH8" s="13"/>
      <c r="AI8" s="127"/>
      <c r="AJ8" s="12"/>
      <c r="AK8" s="13"/>
      <c r="AL8" s="102"/>
      <c r="AM8" s="12"/>
      <c r="AN8" s="105"/>
      <c r="AO8" s="102"/>
      <c r="AP8" s="12"/>
      <c r="AQ8" s="12"/>
      <c r="AR8" s="110"/>
      <c r="AS8" s="110"/>
      <c r="AT8" s="110"/>
      <c r="AU8" s="110"/>
      <c r="AV8" s="110"/>
      <c r="AW8" s="123"/>
    </row>
    <row r="9" spans="1:49" x14ac:dyDescent="0.2">
      <c r="A9" s="40" t="s">
        <v>2</v>
      </c>
      <c r="B9" s="65" t="s">
        <v>3</v>
      </c>
      <c r="C9" s="102">
        <v>0</v>
      </c>
      <c r="D9" s="12"/>
      <c r="E9" s="12">
        <f>SUM(C9:D9)</f>
        <v>0</v>
      </c>
      <c r="F9" s="12"/>
      <c r="G9" s="105">
        <f>SUM(E9:F9)</f>
        <v>0</v>
      </c>
      <c r="H9" s="50">
        <v>13445753</v>
      </c>
      <c r="I9" s="12">
        <v>44</v>
      </c>
      <c r="J9" s="12">
        <v>13490</v>
      </c>
      <c r="K9" s="12">
        <v>-32</v>
      </c>
      <c r="L9" s="12">
        <f>SUM(J9:K9)</f>
        <v>13458</v>
      </c>
      <c r="M9" s="12">
        <v>-32</v>
      </c>
      <c r="N9" s="12">
        <f>SUM(L9:M9)</f>
        <v>13426</v>
      </c>
      <c r="O9" s="12">
        <v>444</v>
      </c>
      <c r="P9" s="105">
        <f>SUM(N9:O9)</f>
        <v>13870</v>
      </c>
      <c r="Q9" s="50">
        <v>21446688</v>
      </c>
      <c r="R9" s="12"/>
      <c r="S9" s="12">
        <f>SUM(Q9)/1000</f>
        <v>21446.687999999998</v>
      </c>
      <c r="T9" s="12">
        <v>14</v>
      </c>
      <c r="U9" s="12">
        <f>SUM(S9:T9)</f>
        <v>21460.687999999998</v>
      </c>
      <c r="V9" s="12">
        <v>15</v>
      </c>
      <c r="W9" s="12">
        <f>SUM(U9:V9)</f>
        <v>21475.687999999998</v>
      </c>
      <c r="X9" s="12">
        <v>-630</v>
      </c>
      <c r="Y9" s="105">
        <f>SUM(W9:X9)</f>
        <v>20845.687999999998</v>
      </c>
      <c r="Z9" s="50">
        <v>8084280</v>
      </c>
      <c r="AA9" s="12"/>
      <c r="AB9" s="12">
        <f>SUM(Z9:AA9)/1000</f>
        <v>8084.28</v>
      </c>
      <c r="AC9" s="12">
        <v>18</v>
      </c>
      <c r="AD9" s="12">
        <f>SUM(AB9:AC9)</f>
        <v>8102.28</v>
      </c>
      <c r="AE9" s="12">
        <v>17</v>
      </c>
      <c r="AF9" s="12">
        <f>SUM(AD9:AE9)</f>
        <v>8119.28</v>
      </c>
      <c r="AG9" s="12">
        <v>107</v>
      </c>
      <c r="AH9" s="13">
        <f>SUM(AF9:AG9)</f>
        <v>8226.2799999999988</v>
      </c>
      <c r="AI9" s="127">
        <v>0</v>
      </c>
      <c r="AJ9" s="12"/>
      <c r="AK9" s="13"/>
      <c r="AL9" s="102">
        <v>0</v>
      </c>
      <c r="AM9" s="12"/>
      <c r="AN9" s="105"/>
      <c r="AO9" s="118">
        <f>C9+H9+Q9+Z9+AI9+AL9</f>
        <v>42976721</v>
      </c>
      <c r="AP9" s="12">
        <f>D9+I9+R9+AA9+AJ9+AM9</f>
        <v>44</v>
      </c>
      <c r="AQ9" s="12">
        <f>E9+J9+S9+AB9</f>
        <v>43020.967999999993</v>
      </c>
      <c r="AR9" s="113">
        <f>K9+T9+AC9</f>
        <v>0</v>
      </c>
      <c r="AS9" s="113">
        <f>SUM(AQ9:AR9)</f>
        <v>43020.967999999993</v>
      </c>
      <c r="AT9" s="113">
        <f>F9+M9+V9+AE9</f>
        <v>0</v>
      </c>
      <c r="AU9" s="113">
        <f>SUM(AS9:AT9)</f>
        <v>43020.967999999993</v>
      </c>
      <c r="AV9" s="113">
        <f>O9+X9+AG9</f>
        <v>-79</v>
      </c>
      <c r="AW9" s="125">
        <f>SUM(AU9:AV9)</f>
        <v>42941.967999999993</v>
      </c>
    </row>
    <row r="10" spans="1:49" ht="24" x14ac:dyDescent="0.2">
      <c r="A10" s="40" t="s">
        <v>4</v>
      </c>
      <c r="B10" s="66" t="s">
        <v>39</v>
      </c>
      <c r="C10" s="102">
        <v>0</v>
      </c>
      <c r="D10" s="12"/>
      <c r="E10" s="12">
        <f t="shared" ref="E10:E39" si="0">SUM(C10:D10)</f>
        <v>0</v>
      </c>
      <c r="F10" s="12"/>
      <c r="G10" s="105">
        <f t="shared" ref="G10:G39" si="1">SUM(E10:F10)</f>
        <v>0</v>
      </c>
      <c r="H10" s="50">
        <v>2621922</v>
      </c>
      <c r="I10" s="12">
        <v>10</v>
      </c>
      <c r="J10" s="12">
        <v>2632</v>
      </c>
      <c r="K10" s="12">
        <v>-7</v>
      </c>
      <c r="L10" s="12">
        <f t="shared" ref="L10:L39" si="2">SUM(J10:K10)</f>
        <v>2625</v>
      </c>
      <c r="M10" s="12">
        <v>-7</v>
      </c>
      <c r="N10" s="12">
        <f t="shared" ref="N10:N39" si="3">SUM(L10:M10)</f>
        <v>2618</v>
      </c>
      <c r="O10" s="12">
        <v>128</v>
      </c>
      <c r="P10" s="105">
        <f t="shared" ref="P10:P39" si="4">SUM(N10:O10)</f>
        <v>2746</v>
      </c>
      <c r="Q10" s="50">
        <v>4182104</v>
      </c>
      <c r="R10" s="12"/>
      <c r="S10" s="12">
        <f t="shared" ref="S10:S38" si="5">SUM(Q10)/1000</f>
        <v>4182.1040000000003</v>
      </c>
      <c r="T10" s="12">
        <v>3</v>
      </c>
      <c r="U10" s="12">
        <f t="shared" ref="U10:U39" si="6">SUM(S10:T10)</f>
        <v>4185.1040000000003</v>
      </c>
      <c r="V10" s="12">
        <v>3</v>
      </c>
      <c r="W10" s="12">
        <f t="shared" ref="W10:W39" si="7">SUM(U10:V10)</f>
        <v>4188.1040000000003</v>
      </c>
      <c r="X10" s="12"/>
      <c r="Y10" s="105">
        <f t="shared" ref="Y10:Y39" si="8">SUM(W10:X10)</f>
        <v>4188.1040000000003</v>
      </c>
      <c r="Z10" s="50">
        <v>1576435</v>
      </c>
      <c r="AA10" s="12"/>
      <c r="AB10" s="12">
        <f t="shared" ref="AB10:AB38" si="9">SUM(Z10:AA10)/1000</f>
        <v>1576.4349999999999</v>
      </c>
      <c r="AC10" s="12">
        <v>4</v>
      </c>
      <c r="AD10" s="12">
        <f t="shared" ref="AD10:AD39" si="10">SUM(AB10:AC10)</f>
        <v>1580.4349999999999</v>
      </c>
      <c r="AE10" s="12">
        <v>4</v>
      </c>
      <c r="AF10" s="12">
        <f t="shared" ref="AF10:AF39" si="11">SUM(AD10:AE10)</f>
        <v>1584.4349999999999</v>
      </c>
      <c r="AG10" s="12">
        <v>10</v>
      </c>
      <c r="AH10" s="13">
        <f t="shared" ref="AH10:AH39" si="12">SUM(AF10:AG10)</f>
        <v>1594.4349999999999</v>
      </c>
      <c r="AI10" s="127">
        <v>0</v>
      </c>
      <c r="AJ10" s="12"/>
      <c r="AK10" s="13"/>
      <c r="AL10" s="102">
        <v>0</v>
      </c>
      <c r="AM10" s="12"/>
      <c r="AN10" s="105"/>
      <c r="AO10" s="118">
        <f t="shared" ref="AO10:AO33" si="13">C10+H10+Q10+Z10+AI10+AL10</f>
        <v>8380461</v>
      </c>
      <c r="AP10" s="12">
        <f t="shared" ref="AP10:AP38" si="14">D10+I10+R10+AA10+AJ10+AM10</f>
        <v>10</v>
      </c>
      <c r="AQ10" s="12">
        <f t="shared" ref="AQ10:AQ39" si="15">E10+J10+S10+AB10</f>
        <v>8390.5390000000007</v>
      </c>
      <c r="AR10" s="113">
        <f t="shared" ref="AR10:AR39" si="16">K10+T10+AC10</f>
        <v>0</v>
      </c>
      <c r="AS10" s="113">
        <f t="shared" ref="AS10:AS39" si="17">SUM(AQ10:AR10)</f>
        <v>8390.5390000000007</v>
      </c>
      <c r="AT10" s="113">
        <f t="shared" ref="AT10:AT39" si="18">F10+M10+V10+AE10</f>
        <v>0</v>
      </c>
      <c r="AU10" s="113">
        <f t="shared" ref="AU10:AU39" si="19">SUM(AS10:AT10)</f>
        <v>8390.5390000000007</v>
      </c>
      <c r="AV10" s="113">
        <f t="shared" ref="AV10:AV39" si="20">O10+X10+AG10</f>
        <v>138</v>
      </c>
      <c r="AW10" s="125">
        <f t="shared" ref="AW10:AW39" si="21">SUM(AU10:AV10)</f>
        <v>8528.5390000000007</v>
      </c>
    </row>
    <row r="11" spans="1:49" x14ac:dyDescent="0.2">
      <c r="A11" s="40" t="s">
        <v>5</v>
      </c>
      <c r="B11" s="65" t="s">
        <v>71</v>
      </c>
      <c r="C11" s="50">
        <v>19188000</v>
      </c>
      <c r="D11" s="12"/>
      <c r="E11" s="12">
        <v>19188</v>
      </c>
      <c r="F11" s="12">
        <v>1599</v>
      </c>
      <c r="G11" s="105">
        <f t="shared" si="1"/>
        <v>20787</v>
      </c>
      <c r="H11" s="50">
        <v>188868191</v>
      </c>
      <c r="I11" s="12">
        <v>1128</v>
      </c>
      <c r="J11" s="12">
        <v>189996</v>
      </c>
      <c r="K11" s="12">
        <f>1000-1000</f>
        <v>0</v>
      </c>
      <c r="L11" s="12">
        <f t="shared" si="2"/>
        <v>189996</v>
      </c>
      <c r="M11" s="12">
        <v>-2518</v>
      </c>
      <c r="N11" s="12">
        <f t="shared" si="3"/>
        <v>187478</v>
      </c>
      <c r="O11" s="12">
        <v>6877</v>
      </c>
      <c r="P11" s="105">
        <f t="shared" si="4"/>
        <v>194355</v>
      </c>
      <c r="Q11" s="50">
        <v>1839216</v>
      </c>
      <c r="R11" s="12"/>
      <c r="S11" s="12">
        <f t="shared" si="5"/>
        <v>1839.2159999999999</v>
      </c>
      <c r="T11" s="12">
        <f>150+80</f>
        <v>230</v>
      </c>
      <c r="U11" s="12">
        <f t="shared" si="6"/>
        <v>2069.2159999999999</v>
      </c>
      <c r="V11" s="12">
        <v>285</v>
      </c>
      <c r="W11" s="12">
        <f t="shared" si="7"/>
        <v>2354.2159999999999</v>
      </c>
      <c r="X11" s="12">
        <v>134</v>
      </c>
      <c r="Y11" s="105">
        <f t="shared" si="8"/>
        <v>2488.2159999999999</v>
      </c>
      <c r="Z11" s="50">
        <v>2138542</v>
      </c>
      <c r="AA11" s="12"/>
      <c r="AB11" s="12">
        <f t="shared" si="9"/>
        <v>2138.5419999999999</v>
      </c>
      <c r="AC11" s="12">
        <f>-1000+770</f>
        <v>-230</v>
      </c>
      <c r="AD11" s="12">
        <f t="shared" si="10"/>
        <v>1908.5419999999999</v>
      </c>
      <c r="AE11" s="12">
        <v>634</v>
      </c>
      <c r="AF11" s="12">
        <f t="shared" si="11"/>
        <v>2542.5419999999999</v>
      </c>
      <c r="AG11" s="12">
        <v>-136</v>
      </c>
      <c r="AH11" s="13">
        <f t="shared" si="12"/>
        <v>2406.5419999999999</v>
      </c>
      <c r="AI11" s="127">
        <v>0</v>
      </c>
      <c r="AJ11" s="12"/>
      <c r="AK11" s="13"/>
      <c r="AL11" s="102">
        <v>0</v>
      </c>
      <c r="AM11" s="12"/>
      <c r="AN11" s="105"/>
      <c r="AO11" s="118">
        <f t="shared" si="13"/>
        <v>212033949</v>
      </c>
      <c r="AP11" s="12">
        <f t="shared" si="14"/>
        <v>1128</v>
      </c>
      <c r="AQ11" s="12">
        <f t="shared" si="15"/>
        <v>213161.75799999997</v>
      </c>
      <c r="AR11" s="113">
        <f t="shared" si="16"/>
        <v>0</v>
      </c>
      <c r="AS11" s="113">
        <f t="shared" si="17"/>
        <v>213161.75799999997</v>
      </c>
      <c r="AT11" s="113">
        <f t="shared" si="18"/>
        <v>0</v>
      </c>
      <c r="AU11" s="113">
        <f t="shared" si="19"/>
        <v>213161.75799999997</v>
      </c>
      <c r="AV11" s="113">
        <f t="shared" si="20"/>
        <v>6875</v>
      </c>
      <c r="AW11" s="125">
        <f t="shared" si="21"/>
        <v>220036.75799999997</v>
      </c>
    </row>
    <row r="12" spans="1:49" x14ac:dyDescent="0.2">
      <c r="A12" s="40" t="s">
        <v>6</v>
      </c>
      <c r="B12" s="65" t="s">
        <v>41</v>
      </c>
      <c r="C12" s="50">
        <v>0</v>
      </c>
      <c r="D12" s="12"/>
      <c r="E12" s="12">
        <f t="shared" si="0"/>
        <v>0</v>
      </c>
      <c r="F12" s="12"/>
      <c r="G12" s="105">
        <f t="shared" si="1"/>
        <v>0</v>
      </c>
      <c r="H12" s="50">
        <v>0</v>
      </c>
      <c r="I12" s="12"/>
      <c r="J12" s="12"/>
      <c r="K12" s="12"/>
      <c r="L12" s="12">
        <f t="shared" si="2"/>
        <v>0</v>
      </c>
      <c r="M12" s="12"/>
      <c r="N12" s="12">
        <f t="shared" si="3"/>
        <v>0</v>
      </c>
      <c r="O12" s="12"/>
      <c r="P12" s="105">
        <f t="shared" si="4"/>
        <v>0</v>
      </c>
      <c r="Q12" s="50">
        <v>0</v>
      </c>
      <c r="R12" s="12"/>
      <c r="S12" s="12">
        <f t="shared" si="5"/>
        <v>0</v>
      </c>
      <c r="T12" s="12"/>
      <c r="U12" s="12">
        <f t="shared" si="6"/>
        <v>0</v>
      </c>
      <c r="V12" s="12"/>
      <c r="W12" s="12">
        <f t="shared" si="7"/>
        <v>0</v>
      </c>
      <c r="X12" s="12"/>
      <c r="Y12" s="105">
        <f t="shared" si="8"/>
        <v>0</v>
      </c>
      <c r="Z12" s="50">
        <v>0</v>
      </c>
      <c r="AA12" s="12"/>
      <c r="AB12" s="12">
        <f t="shared" si="9"/>
        <v>0</v>
      </c>
      <c r="AC12" s="12"/>
      <c r="AD12" s="12">
        <f t="shared" si="10"/>
        <v>0</v>
      </c>
      <c r="AE12" s="12"/>
      <c r="AF12" s="12">
        <f t="shared" si="11"/>
        <v>0</v>
      </c>
      <c r="AG12" s="12"/>
      <c r="AH12" s="13">
        <f t="shared" si="12"/>
        <v>0</v>
      </c>
      <c r="AI12" s="127">
        <v>0</v>
      </c>
      <c r="AJ12" s="12"/>
      <c r="AK12" s="13"/>
      <c r="AL12" s="102">
        <v>0</v>
      </c>
      <c r="AM12" s="12"/>
      <c r="AN12" s="105"/>
      <c r="AO12" s="118">
        <f t="shared" si="13"/>
        <v>0</v>
      </c>
      <c r="AP12" s="12">
        <f t="shared" si="14"/>
        <v>0</v>
      </c>
      <c r="AQ12" s="12">
        <f t="shared" si="15"/>
        <v>0</v>
      </c>
      <c r="AR12" s="113">
        <f t="shared" si="16"/>
        <v>0</v>
      </c>
      <c r="AS12" s="113">
        <f t="shared" si="17"/>
        <v>0</v>
      </c>
      <c r="AT12" s="113">
        <f t="shared" si="18"/>
        <v>0</v>
      </c>
      <c r="AU12" s="113">
        <f t="shared" si="19"/>
        <v>0</v>
      </c>
      <c r="AV12" s="113">
        <f t="shared" si="20"/>
        <v>0</v>
      </c>
      <c r="AW12" s="125">
        <f t="shared" si="21"/>
        <v>0</v>
      </c>
    </row>
    <row r="13" spans="1:49" x14ac:dyDescent="0.2">
      <c r="A13" s="40" t="s">
        <v>7</v>
      </c>
      <c r="B13" s="65" t="s">
        <v>42</v>
      </c>
      <c r="C13" s="50">
        <v>0</v>
      </c>
      <c r="D13" s="12"/>
      <c r="E13" s="12">
        <f t="shared" si="0"/>
        <v>0</v>
      </c>
      <c r="F13" s="12"/>
      <c r="G13" s="105">
        <f t="shared" si="1"/>
        <v>0</v>
      </c>
      <c r="H13" s="50">
        <v>0</v>
      </c>
      <c r="I13" s="12"/>
      <c r="J13" s="12"/>
      <c r="K13" s="12"/>
      <c r="L13" s="12">
        <f t="shared" si="2"/>
        <v>0</v>
      </c>
      <c r="M13" s="12"/>
      <c r="N13" s="12">
        <f t="shared" si="3"/>
        <v>0</v>
      </c>
      <c r="O13" s="12"/>
      <c r="P13" s="105">
        <f t="shared" si="4"/>
        <v>0</v>
      </c>
      <c r="Q13" s="50">
        <v>0</v>
      </c>
      <c r="R13" s="12"/>
      <c r="S13" s="12">
        <f t="shared" si="5"/>
        <v>0</v>
      </c>
      <c r="T13" s="12"/>
      <c r="U13" s="12">
        <f t="shared" si="6"/>
        <v>0</v>
      </c>
      <c r="V13" s="12"/>
      <c r="W13" s="12">
        <f t="shared" si="7"/>
        <v>0</v>
      </c>
      <c r="X13" s="12"/>
      <c r="Y13" s="105">
        <f t="shared" si="8"/>
        <v>0</v>
      </c>
      <c r="Z13" s="50">
        <v>0</v>
      </c>
      <c r="AA13" s="12"/>
      <c r="AB13" s="12">
        <f t="shared" si="9"/>
        <v>0</v>
      </c>
      <c r="AC13" s="12"/>
      <c r="AD13" s="12">
        <f t="shared" si="10"/>
        <v>0</v>
      </c>
      <c r="AE13" s="12"/>
      <c r="AF13" s="12">
        <f t="shared" si="11"/>
        <v>0</v>
      </c>
      <c r="AG13" s="12"/>
      <c r="AH13" s="13">
        <f t="shared" si="12"/>
        <v>0</v>
      </c>
      <c r="AI13" s="127">
        <v>0</v>
      </c>
      <c r="AJ13" s="12"/>
      <c r="AK13" s="13"/>
      <c r="AL13" s="102">
        <v>0</v>
      </c>
      <c r="AM13" s="12"/>
      <c r="AN13" s="105"/>
      <c r="AO13" s="118">
        <f t="shared" si="13"/>
        <v>0</v>
      </c>
      <c r="AP13" s="12">
        <f t="shared" si="14"/>
        <v>0</v>
      </c>
      <c r="AQ13" s="12">
        <f t="shared" si="15"/>
        <v>0</v>
      </c>
      <c r="AR13" s="113">
        <f t="shared" si="16"/>
        <v>0</v>
      </c>
      <c r="AS13" s="113">
        <f t="shared" si="17"/>
        <v>0</v>
      </c>
      <c r="AT13" s="113">
        <f t="shared" si="18"/>
        <v>0</v>
      </c>
      <c r="AU13" s="113">
        <f t="shared" si="19"/>
        <v>0</v>
      </c>
      <c r="AV13" s="113">
        <f t="shared" si="20"/>
        <v>0</v>
      </c>
      <c r="AW13" s="125">
        <f t="shared" si="21"/>
        <v>0</v>
      </c>
    </row>
    <row r="14" spans="1:49" x14ac:dyDescent="0.2">
      <c r="A14" s="40" t="s">
        <v>8</v>
      </c>
      <c r="B14" s="67" t="s">
        <v>72</v>
      </c>
      <c r="C14" s="50"/>
      <c r="D14" s="34"/>
      <c r="E14" s="12">
        <f t="shared" si="0"/>
        <v>0</v>
      </c>
      <c r="F14" s="12"/>
      <c r="G14" s="105">
        <f t="shared" si="1"/>
        <v>0</v>
      </c>
      <c r="H14" s="50"/>
      <c r="I14" s="34"/>
      <c r="J14" s="34"/>
      <c r="K14" s="34"/>
      <c r="L14" s="12">
        <f t="shared" si="2"/>
        <v>0</v>
      </c>
      <c r="M14" s="12"/>
      <c r="N14" s="12">
        <f t="shared" si="3"/>
        <v>0</v>
      </c>
      <c r="O14" s="12"/>
      <c r="P14" s="105">
        <f t="shared" si="4"/>
        <v>0</v>
      </c>
      <c r="Q14" s="50"/>
      <c r="R14" s="34"/>
      <c r="S14" s="12">
        <f t="shared" si="5"/>
        <v>0</v>
      </c>
      <c r="T14" s="12"/>
      <c r="U14" s="12">
        <f t="shared" si="6"/>
        <v>0</v>
      </c>
      <c r="V14" s="12"/>
      <c r="W14" s="12">
        <f t="shared" si="7"/>
        <v>0</v>
      </c>
      <c r="X14" s="12"/>
      <c r="Y14" s="105">
        <f t="shared" si="8"/>
        <v>0</v>
      </c>
      <c r="Z14" s="50"/>
      <c r="AA14" s="34"/>
      <c r="AB14" s="12">
        <f t="shared" si="9"/>
        <v>0</v>
      </c>
      <c r="AC14" s="12"/>
      <c r="AD14" s="12">
        <f t="shared" si="10"/>
        <v>0</v>
      </c>
      <c r="AE14" s="12"/>
      <c r="AF14" s="12">
        <f t="shared" si="11"/>
        <v>0</v>
      </c>
      <c r="AG14" s="12"/>
      <c r="AH14" s="13">
        <f t="shared" si="12"/>
        <v>0</v>
      </c>
      <c r="AI14" s="94">
        <v>0</v>
      </c>
      <c r="AJ14" s="34"/>
      <c r="AK14" s="240"/>
      <c r="AL14" s="89">
        <v>0</v>
      </c>
      <c r="AM14" s="34"/>
      <c r="AN14" s="83"/>
      <c r="AO14" s="118">
        <f t="shared" si="13"/>
        <v>0</v>
      </c>
      <c r="AP14" s="12">
        <f t="shared" si="14"/>
        <v>0</v>
      </c>
      <c r="AQ14" s="12">
        <f t="shared" si="15"/>
        <v>0</v>
      </c>
      <c r="AR14" s="113">
        <f t="shared" si="16"/>
        <v>0</v>
      </c>
      <c r="AS14" s="113">
        <f t="shared" si="17"/>
        <v>0</v>
      </c>
      <c r="AT14" s="113">
        <f t="shared" si="18"/>
        <v>0</v>
      </c>
      <c r="AU14" s="113">
        <f t="shared" si="19"/>
        <v>0</v>
      </c>
      <c r="AV14" s="113">
        <f t="shared" si="20"/>
        <v>0</v>
      </c>
      <c r="AW14" s="125">
        <f t="shared" si="21"/>
        <v>0</v>
      </c>
    </row>
    <row r="15" spans="1:49" s="7" customFormat="1" x14ac:dyDescent="0.2">
      <c r="A15" s="20" t="s">
        <v>9</v>
      </c>
      <c r="B15" s="68" t="s">
        <v>43</v>
      </c>
      <c r="C15" s="90">
        <f>C9+C10+C11+C12+C13+C14</f>
        <v>19188000</v>
      </c>
      <c r="D15" s="34">
        <f t="shared" ref="D15:AN15" si="22">D9+D10+D11+D12+D13+D14</f>
        <v>0</v>
      </c>
      <c r="E15" s="12">
        <v>19188</v>
      </c>
      <c r="F15" s="12">
        <v>1599</v>
      </c>
      <c r="G15" s="105">
        <f t="shared" si="1"/>
        <v>20787</v>
      </c>
      <c r="H15" s="90">
        <f t="shared" si="22"/>
        <v>204935866</v>
      </c>
      <c r="I15" s="34">
        <v>1182</v>
      </c>
      <c r="J15" s="34">
        <v>206118</v>
      </c>
      <c r="K15" s="34">
        <f>SUM(K9:K14)</f>
        <v>-39</v>
      </c>
      <c r="L15" s="12">
        <f t="shared" si="2"/>
        <v>206079</v>
      </c>
      <c r="M15" s="12">
        <f>SUM(M9:M14)</f>
        <v>-2557</v>
      </c>
      <c r="N15" s="12">
        <f t="shared" si="3"/>
        <v>203522</v>
      </c>
      <c r="O15" s="12">
        <f>O9+O10+O11</f>
        <v>7449</v>
      </c>
      <c r="P15" s="105">
        <f t="shared" si="4"/>
        <v>210971</v>
      </c>
      <c r="Q15" s="90">
        <f t="shared" si="22"/>
        <v>27468008</v>
      </c>
      <c r="R15" s="26">
        <f t="shared" si="22"/>
        <v>0</v>
      </c>
      <c r="S15" s="12">
        <f t="shared" si="5"/>
        <v>27468.008000000002</v>
      </c>
      <c r="T15" s="12">
        <f>SUM(T9:T14)</f>
        <v>247</v>
      </c>
      <c r="U15" s="12">
        <f>SUM(U9:U14)</f>
        <v>27715.007999999998</v>
      </c>
      <c r="V15" s="12">
        <f>SUM(V9:V14)</f>
        <v>303</v>
      </c>
      <c r="W15" s="12">
        <f t="shared" si="7"/>
        <v>28018.007999999998</v>
      </c>
      <c r="X15" s="12">
        <f>X9+X11</f>
        <v>-496</v>
      </c>
      <c r="Y15" s="105">
        <f t="shared" si="8"/>
        <v>27522.007999999998</v>
      </c>
      <c r="Z15" s="90">
        <f t="shared" si="22"/>
        <v>11799257</v>
      </c>
      <c r="AA15" s="34">
        <f t="shared" si="22"/>
        <v>0</v>
      </c>
      <c r="AB15" s="12">
        <f t="shared" si="9"/>
        <v>11799.257</v>
      </c>
      <c r="AC15" s="12">
        <f>SUM(AC9:AC14)</f>
        <v>-208</v>
      </c>
      <c r="AD15" s="12">
        <f t="shared" si="10"/>
        <v>11591.257</v>
      </c>
      <c r="AE15" s="12">
        <f>SUM(AE9:AE14)</f>
        <v>655</v>
      </c>
      <c r="AF15" s="12">
        <f t="shared" si="11"/>
        <v>12246.257</v>
      </c>
      <c r="AG15" s="12">
        <f>SUM(AG9:AG14)</f>
        <v>-19</v>
      </c>
      <c r="AH15" s="13">
        <f t="shared" si="12"/>
        <v>12227.257</v>
      </c>
      <c r="AI15" s="94">
        <f t="shared" si="22"/>
        <v>0</v>
      </c>
      <c r="AJ15" s="34">
        <f t="shared" si="22"/>
        <v>0</v>
      </c>
      <c r="AK15" s="240">
        <f t="shared" si="22"/>
        <v>0</v>
      </c>
      <c r="AL15" s="89">
        <f t="shared" si="22"/>
        <v>0</v>
      </c>
      <c r="AM15" s="34">
        <f t="shared" si="22"/>
        <v>0</v>
      </c>
      <c r="AN15" s="83">
        <f t="shared" si="22"/>
        <v>0</v>
      </c>
      <c r="AO15" s="118">
        <f t="shared" si="13"/>
        <v>263391131</v>
      </c>
      <c r="AP15" s="12">
        <f t="shared" si="14"/>
        <v>1182</v>
      </c>
      <c r="AQ15" s="12">
        <f t="shared" si="15"/>
        <v>264573.26500000001</v>
      </c>
      <c r="AR15" s="113">
        <f t="shared" si="16"/>
        <v>0</v>
      </c>
      <c r="AS15" s="113">
        <f t="shared" si="17"/>
        <v>264573.26500000001</v>
      </c>
      <c r="AT15" s="113">
        <f t="shared" si="18"/>
        <v>0</v>
      </c>
      <c r="AU15" s="113">
        <f t="shared" si="19"/>
        <v>264573.26500000001</v>
      </c>
      <c r="AV15" s="113">
        <f t="shared" si="20"/>
        <v>6934</v>
      </c>
      <c r="AW15" s="125">
        <f t="shared" si="21"/>
        <v>271507.26500000001</v>
      </c>
    </row>
    <row r="16" spans="1:49" x14ac:dyDescent="0.2">
      <c r="A16" s="40" t="s">
        <v>10</v>
      </c>
      <c r="B16" s="65" t="s">
        <v>44</v>
      </c>
      <c r="C16" s="115">
        <f>'[3]2016 ktgv kiadás_01'!$G$205</f>
        <v>0</v>
      </c>
      <c r="D16" s="17"/>
      <c r="E16" s="12">
        <f t="shared" si="0"/>
        <v>0</v>
      </c>
      <c r="F16" s="12"/>
      <c r="G16" s="105">
        <f t="shared" si="1"/>
        <v>0</v>
      </c>
      <c r="H16" s="115">
        <v>3555078</v>
      </c>
      <c r="I16" s="17"/>
      <c r="J16" s="17">
        <v>3555</v>
      </c>
      <c r="K16" s="17">
        <v>10</v>
      </c>
      <c r="L16" s="12">
        <f t="shared" si="2"/>
        <v>3565</v>
      </c>
      <c r="M16" s="12">
        <v>129</v>
      </c>
      <c r="N16" s="12">
        <f t="shared" si="3"/>
        <v>3694</v>
      </c>
      <c r="O16" s="12"/>
      <c r="P16" s="105">
        <f t="shared" si="4"/>
        <v>3694</v>
      </c>
      <c r="Q16" s="115">
        <v>1678794</v>
      </c>
      <c r="R16" s="17"/>
      <c r="S16" s="12">
        <f t="shared" si="5"/>
        <v>1678.7940000000001</v>
      </c>
      <c r="T16" s="12">
        <v>-10</v>
      </c>
      <c r="U16" s="12">
        <f t="shared" si="6"/>
        <v>1668.7940000000001</v>
      </c>
      <c r="V16" s="12">
        <v>150</v>
      </c>
      <c r="W16" s="12">
        <f t="shared" si="7"/>
        <v>1818.7940000000001</v>
      </c>
      <c r="X16" s="12"/>
      <c r="Y16" s="105">
        <f t="shared" si="8"/>
        <v>1818.7940000000001</v>
      </c>
      <c r="Z16" s="115">
        <v>877385</v>
      </c>
      <c r="AA16" s="17"/>
      <c r="AB16" s="12">
        <f t="shared" si="9"/>
        <v>877.38499999999999</v>
      </c>
      <c r="AC16" s="12"/>
      <c r="AD16" s="12">
        <f t="shared" si="10"/>
        <v>877.38499999999999</v>
      </c>
      <c r="AE16" s="12">
        <v>-279</v>
      </c>
      <c r="AF16" s="12">
        <f t="shared" si="11"/>
        <v>598.38499999999999</v>
      </c>
      <c r="AG16" s="12"/>
      <c r="AH16" s="13">
        <f t="shared" si="12"/>
        <v>598.38499999999999</v>
      </c>
      <c r="AI16" s="93">
        <v>0</v>
      </c>
      <c r="AJ16" s="17"/>
      <c r="AK16" s="18"/>
      <c r="AL16" s="87">
        <v>0</v>
      </c>
      <c r="AM16" s="17"/>
      <c r="AN16" s="81"/>
      <c r="AO16" s="118">
        <f t="shared" si="13"/>
        <v>6111257</v>
      </c>
      <c r="AP16" s="12">
        <f t="shared" si="14"/>
        <v>0</v>
      </c>
      <c r="AQ16" s="12">
        <f t="shared" si="15"/>
        <v>6111.1790000000001</v>
      </c>
      <c r="AR16" s="113">
        <f t="shared" si="16"/>
        <v>0</v>
      </c>
      <c r="AS16" s="113">
        <f t="shared" si="17"/>
        <v>6111.1790000000001</v>
      </c>
      <c r="AT16" s="113">
        <f t="shared" si="18"/>
        <v>0</v>
      </c>
      <c r="AU16" s="113">
        <f t="shared" si="19"/>
        <v>6111.1790000000001</v>
      </c>
      <c r="AV16" s="113">
        <f t="shared" si="20"/>
        <v>0</v>
      </c>
      <c r="AW16" s="125">
        <f t="shared" si="21"/>
        <v>6111.1790000000001</v>
      </c>
    </row>
    <row r="17" spans="1:49" x14ac:dyDescent="0.2">
      <c r="A17" s="40" t="s">
        <v>11</v>
      </c>
      <c r="B17" s="65" t="s">
        <v>45</v>
      </c>
      <c r="C17" s="115">
        <v>0</v>
      </c>
      <c r="D17" s="17"/>
      <c r="E17" s="12">
        <f t="shared" si="0"/>
        <v>0</v>
      </c>
      <c r="F17" s="12"/>
      <c r="G17" s="105">
        <f t="shared" si="1"/>
        <v>0</v>
      </c>
      <c r="H17" s="115">
        <v>0</v>
      </c>
      <c r="I17" s="17"/>
      <c r="J17" s="17"/>
      <c r="K17" s="17"/>
      <c r="L17" s="12">
        <f t="shared" si="2"/>
        <v>0</v>
      </c>
      <c r="M17" s="12"/>
      <c r="N17" s="12">
        <f t="shared" si="3"/>
        <v>0</v>
      </c>
      <c r="O17" s="12"/>
      <c r="P17" s="105">
        <f t="shared" si="4"/>
        <v>0</v>
      </c>
      <c r="Q17" s="115">
        <v>0</v>
      </c>
      <c r="R17" s="17"/>
      <c r="S17" s="12">
        <f t="shared" si="5"/>
        <v>0</v>
      </c>
      <c r="T17" s="12"/>
      <c r="U17" s="12">
        <f t="shared" si="6"/>
        <v>0</v>
      </c>
      <c r="V17" s="12"/>
      <c r="W17" s="12">
        <f t="shared" si="7"/>
        <v>0</v>
      </c>
      <c r="X17" s="12"/>
      <c r="Y17" s="105">
        <f t="shared" si="8"/>
        <v>0</v>
      </c>
      <c r="Z17" s="115">
        <v>0</v>
      </c>
      <c r="AA17" s="17"/>
      <c r="AB17" s="12">
        <f t="shared" si="9"/>
        <v>0</v>
      </c>
      <c r="AC17" s="12"/>
      <c r="AD17" s="12">
        <f t="shared" si="10"/>
        <v>0</v>
      </c>
      <c r="AE17" s="12"/>
      <c r="AF17" s="12">
        <f t="shared" si="11"/>
        <v>0</v>
      </c>
      <c r="AG17" s="12"/>
      <c r="AH17" s="13">
        <f t="shared" si="12"/>
        <v>0</v>
      </c>
      <c r="AI17" s="93">
        <v>0</v>
      </c>
      <c r="AJ17" s="17"/>
      <c r="AK17" s="18"/>
      <c r="AL17" s="87">
        <v>0</v>
      </c>
      <c r="AM17" s="17"/>
      <c r="AN17" s="81"/>
      <c r="AO17" s="118">
        <f t="shared" si="13"/>
        <v>0</v>
      </c>
      <c r="AP17" s="12">
        <f t="shared" si="14"/>
        <v>0</v>
      </c>
      <c r="AQ17" s="12">
        <f t="shared" si="15"/>
        <v>0</v>
      </c>
      <c r="AR17" s="113">
        <f t="shared" si="16"/>
        <v>0</v>
      </c>
      <c r="AS17" s="113">
        <f t="shared" si="17"/>
        <v>0</v>
      </c>
      <c r="AT17" s="113">
        <f t="shared" si="18"/>
        <v>0</v>
      </c>
      <c r="AU17" s="113">
        <f t="shared" si="19"/>
        <v>0</v>
      </c>
      <c r="AV17" s="113">
        <f t="shared" si="20"/>
        <v>0</v>
      </c>
      <c r="AW17" s="125">
        <f t="shared" si="21"/>
        <v>0</v>
      </c>
    </row>
    <row r="18" spans="1:49" s="7" customFormat="1" x14ac:dyDescent="0.2">
      <c r="A18" s="40" t="s">
        <v>12</v>
      </c>
      <c r="B18" s="65" t="s">
        <v>46</v>
      </c>
      <c r="C18" s="115">
        <v>0</v>
      </c>
      <c r="D18" s="34"/>
      <c r="E18" s="12">
        <f t="shared" si="0"/>
        <v>0</v>
      </c>
      <c r="F18" s="12"/>
      <c r="G18" s="105">
        <f t="shared" si="1"/>
        <v>0</v>
      </c>
      <c r="H18" s="115">
        <v>0</v>
      </c>
      <c r="I18" s="34"/>
      <c r="J18" s="17"/>
      <c r="K18" s="17"/>
      <c r="L18" s="12">
        <f t="shared" si="2"/>
        <v>0</v>
      </c>
      <c r="M18" s="12"/>
      <c r="N18" s="12">
        <f t="shared" si="3"/>
        <v>0</v>
      </c>
      <c r="O18" s="12"/>
      <c r="P18" s="105">
        <f t="shared" si="4"/>
        <v>0</v>
      </c>
      <c r="Q18" s="115">
        <v>0</v>
      </c>
      <c r="R18" s="34"/>
      <c r="S18" s="12">
        <f t="shared" si="5"/>
        <v>0</v>
      </c>
      <c r="T18" s="12"/>
      <c r="U18" s="12">
        <f t="shared" si="6"/>
        <v>0</v>
      </c>
      <c r="V18" s="12"/>
      <c r="W18" s="12">
        <f t="shared" si="7"/>
        <v>0</v>
      </c>
      <c r="X18" s="12"/>
      <c r="Y18" s="105">
        <f t="shared" si="8"/>
        <v>0</v>
      </c>
      <c r="Z18" s="115"/>
      <c r="AA18" s="34"/>
      <c r="AB18" s="12">
        <f t="shared" si="9"/>
        <v>0</v>
      </c>
      <c r="AC18" s="12"/>
      <c r="AD18" s="12">
        <f t="shared" si="10"/>
        <v>0</v>
      </c>
      <c r="AE18" s="12"/>
      <c r="AF18" s="12">
        <f t="shared" si="11"/>
        <v>0</v>
      </c>
      <c r="AG18" s="12"/>
      <c r="AH18" s="13">
        <f t="shared" si="12"/>
        <v>0</v>
      </c>
      <c r="AI18" s="93">
        <v>0</v>
      </c>
      <c r="AJ18" s="17"/>
      <c r="AK18" s="18"/>
      <c r="AL18" s="87">
        <v>0</v>
      </c>
      <c r="AM18" s="17"/>
      <c r="AN18" s="81"/>
      <c r="AO18" s="118">
        <f t="shared" si="13"/>
        <v>0</v>
      </c>
      <c r="AP18" s="12">
        <f t="shared" si="14"/>
        <v>0</v>
      </c>
      <c r="AQ18" s="12">
        <f t="shared" si="15"/>
        <v>0</v>
      </c>
      <c r="AR18" s="113">
        <f t="shared" si="16"/>
        <v>0</v>
      </c>
      <c r="AS18" s="113">
        <f t="shared" si="17"/>
        <v>0</v>
      </c>
      <c r="AT18" s="113">
        <f t="shared" si="18"/>
        <v>0</v>
      </c>
      <c r="AU18" s="113">
        <f t="shared" si="19"/>
        <v>0</v>
      </c>
      <c r="AV18" s="113">
        <f t="shared" si="20"/>
        <v>0</v>
      </c>
      <c r="AW18" s="125">
        <f t="shared" si="21"/>
        <v>0</v>
      </c>
    </row>
    <row r="19" spans="1:49" s="7" customFormat="1" x14ac:dyDescent="0.2">
      <c r="A19" s="20" t="s">
        <v>13</v>
      </c>
      <c r="B19" s="68" t="s">
        <v>47</v>
      </c>
      <c r="C19" s="90">
        <f>C16+C17+C18</f>
        <v>0</v>
      </c>
      <c r="D19" s="34">
        <f t="shared" ref="D19:AN19" si="23">D16+D17+D18</f>
        <v>0</v>
      </c>
      <c r="E19" s="12">
        <f t="shared" si="0"/>
        <v>0</v>
      </c>
      <c r="F19" s="12"/>
      <c r="G19" s="105">
        <f t="shared" si="1"/>
        <v>0</v>
      </c>
      <c r="H19" s="90">
        <f t="shared" si="23"/>
        <v>3555078</v>
      </c>
      <c r="I19" s="26">
        <f t="shared" si="23"/>
        <v>0</v>
      </c>
      <c r="J19" s="26">
        <v>3555000</v>
      </c>
      <c r="K19" s="34">
        <v>10</v>
      </c>
      <c r="L19" s="12">
        <v>3565</v>
      </c>
      <c r="M19" s="12">
        <v>129</v>
      </c>
      <c r="N19" s="12">
        <f t="shared" si="3"/>
        <v>3694</v>
      </c>
      <c r="O19" s="12"/>
      <c r="P19" s="105">
        <f t="shared" si="4"/>
        <v>3694</v>
      </c>
      <c r="Q19" s="90">
        <f t="shared" si="23"/>
        <v>1678794</v>
      </c>
      <c r="R19" s="26">
        <f t="shared" si="23"/>
        <v>0</v>
      </c>
      <c r="S19" s="12">
        <f t="shared" si="5"/>
        <v>1678.7940000000001</v>
      </c>
      <c r="T19" s="12">
        <v>-10</v>
      </c>
      <c r="U19" s="12">
        <f t="shared" si="6"/>
        <v>1668.7940000000001</v>
      </c>
      <c r="V19" s="12">
        <v>150</v>
      </c>
      <c r="W19" s="12">
        <f t="shared" si="7"/>
        <v>1818.7940000000001</v>
      </c>
      <c r="X19" s="12"/>
      <c r="Y19" s="105">
        <f t="shared" si="8"/>
        <v>1818.7940000000001</v>
      </c>
      <c r="Z19" s="90">
        <f t="shared" si="23"/>
        <v>877385</v>
      </c>
      <c r="AA19" s="34">
        <f t="shared" si="23"/>
        <v>0</v>
      </c>
      <c r="AB19" s="12">
        <f t="shared" si="9"/>
        <v>877.38499999999999</v>
      </c>
      <c r="AC19" s="12"/>
      <c r="AD19" s="12">
        <f t="shared" si="10"/>
        <v>877.38499999999999</v>
      </c>
      <c r="AE19" s="12">
        <v>-279</v>
      </c>
      <c r="AF19" s="12">
        <f t="shared" si="11"/>
        <v>598.38499999999999</v>
      </c>
      <c r="AG19" s="12"/>
      <c r="AH19" s="13">
        <f t="shared" si="12"/>
        <v>598.38499999999999</v>
      </c>
      <c r="AI19" s="94">
        <f t="shared" si="23"/>
        <v>0</v>
      </c>
      <c r="AJ19" s="34">
        <f t="shared" si="23"/>
        <v>0</v>
      </c>
      <c r="AK19" s="240">
        <f t="shared" si="23"/>
        <v>0</v>
      </c>
      <c r="AL19" s="89">
        <f t="shared" si="23"/>
        <v>0</v>
      </c>
      <c r="AM19" s="34">
        <f t="shared" si="23"/>
        <v>0</v>
      </c>
      <c r="AN19" s="83">
        <f t="shared" si="23"/>
        <v>0</v>
      </c>
      <c r="AO19" s="118">
        <f t="shared" si="13"/>
        <v>6111257</v>
      </c>
      <c r="AP19" s="12">
        <f t="shared" si="14"/>
        <v>0</v>
      </c>
      <c r="AQ19" s="12">
        <v>6111</v>
      </c>
      <c r="AR19" s="113">
        <f t="shared" si="16"/>
        <v>0</v>
      </c>
      <c r="AS19" s="113">
        <f t="shared" si="17"/>
        <v>6111</v>
      </c>
      <c r="AT19" s="113">
        <f t="shared" si="18"/>
        <v>0</v>
      </c>
      <c r="AU19" s="113">
        <f t="shared" si="19"/>
        <v>6111</v>
      </c>
      <c r="AV19" s="113">
        <f t="shared" si="20"/>
        <v>0</v>
      </c>
      <c r="AW19" s="125">
        <f t="shared" si="21"/>
        <v>6111</v>
      </c>
    </row>
    <row r="20" spans="1:49" s="7" customFormat="1" x14ac:dyDescent="0.2">
      <c r="A20" s="20" t="s">
        <v>14</v>
      </c>
      <c r="B20" s="68" t="s">
        <v>73</v>
      </c>
      <c r="C20" s="90">
        <v>0</v>
      </c>
      <c r="D20" s="34"/>
      <c r="E20" s="12">
        <f t="shared" si="0"/>
        <v>0</v>
      </c>
      <c r="F20" s="12"/>
      <c r="G20" s="105">
        <f t="shared" si="1"/>
        <v>0</v>
      </c>
      <c r="H20" s="90">
        <v>0</v>
      </c>
      <c r="I20" s="34"/>
      <c r="J20" s="34"/>
      <c r="K20" s="34"/>
      <c r="L20" s="12">
        <f t="shared" si="2"/>
        <v>0</v>
      </c>
      <c r="M20" s="12"/>
      <c r="N20" s="12">
        <f t="shared" si="3"/>
        <v>0</v>
      </c>
      <c r="O20" s="12"/>
      <c r="P20" s="105">
        <f t="shared" si="4"/>
        <v>0</v>
      </c>
      <c r="Q20" s="90">
        <v>0</v>
      </c>
      <c r="R20" s="34"/>
      <c r="S20" s="12">
        <f t="shared" si="5"/>
        <v>0</v>
      </c>
      <c r="T20" s="12"/>
      <c r="U20" s="12">
        <f t="shared" si="6"/>
        <v>0</v>
      </c>
      <c r="V20" s="12"/>
      <c r="W20" s="12">
        <f t="shared" si="7"/>
        <v>0</v>
      </c>
      <c r="X20" s="12"/>
      <c r="Y20" s="105">
        <f t="shared" si="8"/>
        <v>0</v>
      </c>
      <c r="Z20" s="90">
        <v>0</v>
      </c>
      <c r="AA20" s="34"/>
      <c r="AB20" s="12">
        <f t="shared" si="9"/>
        <v>0</v>
      </c>
      <c r="AC20" s="12"/>
      <c r="AD20" s="12">
        <f t="shared" si="10"/>
        <v>0</v>
      </c>
      <c r="AE20" s="12"/>
      <c r="AF20" s="12">
        <f t="shared" si="11"/>
        <v>0</v>
      </c>
      <c r="AG20" s="12"/>
      <c r="AH20" s="13">
        <f t="shared" si="12"/>
        <v>0</v>
      </c>
      <c r="AI20" s="94">
        <v>0</v>
      </c>
      <c r="AJ20" s="34"/>
      <c r="AK20" s="240"/>
      <c r="AL20" s="89">
        <v>0</v>
      </c>
      <c r="AM20" s="34"/>
      <c r="AN20" s="83"/>
      <c r="AO20" s="118">
        <f t="shared" si="13"/>
        <v>0</v>
      </c>
      <c r="AP20" s="12">
        <f t="shared" si="14"/>
        <v>0</v>
      </c>
      <c r="AQ20" s="12">
        <f t="shared" si="15"/>
        <v>0</v>
      </c>
      <c r="AR20" s="113">
        <f t="shared" si="16"/>
        <v>0</v>
      </c>
      <c r="AS20" s="113">
        <f t="shared" si="17"/>
        <v>0</v>
      </c>
      <c r="AT20" s="113">
        <f t="shared" si="18"/>
        <v>0</v>
      </c>
      <c r="AU20" s="113">
        <f t="shared" si="19"/>
        <v>0</v>
      </c>
      <c r="AV20" s="113">
        <f t="shared" si="20"/>
        <v>0</v>
      </c>
      <c r="AW20" s="125">
        <f t="shared" si="21"/>
        <v>0</v>
      </c>
    </row>
    <row r="21" spans="1:49" x14ac:dyDescent="0.2">
      <c r="A21" s="40" t="s">
        <v>15</v>
      </c>
      <c r="B21" s="67" t="s">
        <v>77</v>
      </c>
      <c r="C21" s="90"/>
      <c r="D21" s="34"/>
      <c r="E21" s="12">
        <f t="shared" si="0"/>
        <v>0</v>
      </c>
      <c r="F21" s="12"/>
      <c r="G21" s="105">
        <f t="shared" si="1"/>
        <v>0</v>
      </c>
      <c r="H21" s="90"/>
      <c r="I21" s="34"/>
      <c r="J21" s="34"/>
      <c r="K21" s="34"/>
      <c r="L21" s="12">
        <f t="shared" si="2"/>
        <v>0</v>
      </c>
      <c r="M21" s="12"/>
      <c r="N21" s="12">
        <f t="shared" si="3"/>
        <v>0</v>
      </c>
      <c r="O21" s="12"/>
      <c r="P21" s="105">
        <f t="shared" si="4"/>
        <v>0</v>
      </c>
      <c r="Q21" s="90"/>
      <c r="R21" s="34"/>
      <c r="S21" s="12">
        <f t="shared" si="5"/>
        <v>0</v>
      </c>
      <c r="T21" s="12"/>
      <c r="U21" s="12">
        <f t="shared" si="6"/>
        <v>0</v>
      </c>
      <c r="V21" s="12"/>
      <c r="W21" s="12">
        <f t="shared" si="7"/>
        <v>0</v>
      </c>
      <c r="X21" s="12"/>
      <c r="Y21" s="105">
        <f t="shared" si="8"/>
        <v>0</v>
      </c>
      <c r="Z21" s="90"/>
      <c r="AA21" s="34"/>
      <c r="AB21" s="12">
        <f t="shared" si="9"/>
        <v>0</v>
      </c>
      <c r="AC21" s="12"/>
      <c r="AD21" s="12">
        <f t="shared" si="10"/>
        <v>0</v>
      </c>
      <c r="AE21" s="12"/>
      <c r="AF21" s="12">
        <f t="shared" si="11"/>
        <v>0</v>
      </c>
      <c r="AG21" s="12"/>
      <c r="AH21" s="13">
        <f t="shared" si="12"/>
        <v>0</v>
      </c>
      <c r="AI21" s="94">
        <v>0</v>
      </c>
      <c r="AJ21" s="34"/>
      <c r="AK21" s="240"/>
      <c r="AL21" s="89">
        <v>0</v>
      </c>
      <c r="AM21" s="34"/>
      <c r="AN21" s="83"/>
      <c r="AO21" s="118">
        <f t="shared" si="13"/>
        <v>0</v>
      </c>
      <c r="AP21" s="12">
        <f t="shared" si="14"/>
        <v>0</v>
      </c>
      <c r="AQ21" s="12">
        <f t="shared" si="15"/>
        <v>0</v>
      </c>
      <c r="AR21" s="113">
        <f t="shared" si="16"/>
        <v>0</v>
      </c>
      <c r="AS21" s="113">
        <f t="shared" si="17"/>
        <v>0</v>
      </c>
      <c r="AT21" s="113">
        <f t="shared" si="18"/>
        <v>0</v>
      </c>
      <c r="AU21" s="113">
        <f t="shared" si="19"/>
        <v>0</v>
      </c>
      <c r="AV21" s="113">
        <f t="shared" si="20"/>
        <v>0</v>
      </c>
      <c r="AW21" s="125">
        <f t="shared" si="21"/>
        <v>0</v>
      </c>
    </row>
    <row r="22" spans="1:49" x14ac:dyDescent="0.2">
      <c r="A22" s="40" t="s">
        <v>16</v>
      </c>
      <c r="B22" s="68" t="s">
        <v>48</v>
      </c>
      <c r="C22" s="90">
        <f>C20+C19+C15</f>
        <v>19188000</v>
      </c>
      <c r="D22" s="34">
        <f t="shared" ref="D22:AN22" si="24">D20+D19+D15</f>
        <v>0</v>
      </c>
      <c r="E22" s="12">
        <v>19188</v>
      </c>
      <c r="F22" s="12">
        <v>1599</v>
      </c>
      <c r="G22" s="105">
        <f t="shared" si="1"/>
        <v>20787</v>
      </c>
      <c r="H22" s="90">
        <f t="shared" si="24"/>
        <v>208490944</v>
      </c>
      <c r="I22" s="34">
        <f t="shared" si="24"/>
        <v>1182</v>
      </c>
      <c r="J22" s="34">
        <v>209673</v>
      </c>
      <c r="K22" s="34">
        <f>SUM(K15+K19)</f>
        <v>-29</v>
      </c>
      <c r="L22" s="12">
        <f t="shared" si="2"/>
        <v>209644</v>
      </c>
      <c r="M22" s="12">
        <f>M15+M19</f>
        <v>-2428</v>
      </c>
      <c r="N22" s="12">
        <f t="shared" si="3"/>
        <v>207216</v>
      </c>
      <c r="O22" s="12">
        <v>7449</v>
      </c>
      <c r="P22" s="105">
        <f t="shared" si="4"/>
        <v>214665</v>
      </c>
      <c r="Q22" s="90">
        <f t="shared" si="24"/>
        <v>29146802</v>
      </c>
      <c r="R22" s="34">
        <f t="shared" si="24"/>
        <v>0</v>
      </c>
      <c r="S22" s="12">
        <f t="shared" si="5"/>
        <v>29146.802</v>
      </c>
      <c r="T22" s="12">
        <f>T15+T19</f>
        <v>237</v>
      </c>
      <c r="U22" s="12">
        <f>SUM(U15+U19)</f>
        <v>29383.802</v>
      </c>
      <c r="V22" s="12">
        <f>V15+V19</f>
        <v>453</v>
      </c>
      <c r="W22" s="12">
        <f t="shared" si="7"/>
        <v>29836.802</v>
      </c>
      <c r="X22" s="12">
        <f>X15</f>
        <v>-496</v>
      </c>
      <c r="Y22" s="105">
        <f t="shared" si="8"/>
        <v>29340.802</v>
      </c>
      <c r="Z22" s="90">
        <f t="shared" si="24"/>
        <v>12676642</v>
      </c>
      <c r="AA22" s="34">
        <f t="shared" si="24"/>
        <v>0</v>
      </c>
      <c r="AB22" s="12">
        <f t="shared" si="9"/>
        <v>12676.642</v>
      </c>
      <c r="AC22" s="12">
        <f>SUM(AC15)</f>
        <v>-208</v>
      </c>
      <c r="AD22" s="12">
        <f t="shared" si="10"/>
        <v>12468.642</v>
      </c>
      <c r="AE22" s="12">
        <f>AE15+AE19</f>
        <v>376</v>
      </c>
      <c r="AF22" s="12">
        <f t="shared" si="11"/>
        <v>12844.642</v>
      </c>
      <c r="AG22" s="12">
        <v>-19</v>
      </c>
      <c r="AH22" s="13">
        <f t="shared" si="12"/>
        <v>12825.642</v>
      </c>
      <c r="AI22" s="94">
        <f t="shared" si="24"/>
        <v>0</v>
      </c>
      <c r="AJ22" s="34">
        <f t="shared" si="24"/>
        <v>0</v>
      </c>
      <c r="AK22" s="240">
        <f t="shared" si="24"/>
        <v>0</v>
      </c>
      <c r="AL22" s="89">
        <f t="shared" si="24"/>
        <v>0</v>
      </c>
      <c r="AM22" s="34">
        <f t="shared" si="24"/>
        <v>0</v>
      </c>
      <c r="AN22" s="83">
        <f t="shared" si="24"/>
        <v>0</v>
      </c>
      <c r="AO22" s="118">
        <f t="shared" si="13"/>
        <v>269502388</v>
      </c>
      <c r="AP22" s="12">
        <f t="shared" si="14"/>
        <v>1182</v>
      </c>
      <c r="AQ22" s="12">
        <f t="shared" si="15"/>
        <v>270684.44400000002</v>
      </c>
      <c r="AR22" s="113">
        <f t="shared" si="16"/>
        <v>0</v>
      </c>
      <c r="AS22" s="113">
        <f t="shared" si="17"/>
        <v>270684.44400000002</v>
      </c>
      <c r="AT22" s="113">
        <f t="shared" si="18"/>
        <v>0</v>
      </c>
      <c r="AU22" s="113">
        <f t="shared" si="19"/>
        <v>270684.44400000002</v>
      </c>
      <c r="AV22" s="113">
        <f t="shared" si="20"/>
        <v>6934</v>
      </c>
      <c r="AW22" s="125">
        <f t="shared" si="21"/>
        <v>277618.44400000002</v>
      </c>
    </row>
    <row r="23" spans="1:49" ht="14.25" x14ac:dyDescent="0.2">
      <c r="A23" s="497" t="s">
        <v>55</v>
      </c>
      <c r="B23" s="498"/>
      <c r="C23" s="90"/>
      <c r="D23" s="34"/>
      <c r="E23" s="12">
        <f t="shared" si="0"/>
        <v>0</v>
      </c>
      <c r="F23" s="12"/>
      <c r="G23" s="105">
        <f t="shared" si="1"/>
        <v>0</v>
      </c>
      <c r="H23" s="90"/>
      <c r="I23" s="34"/>
      <c r="J23" s="34"/>
      <c r="K23" s="34"/>
      <c r="L23" s="12">
        <f t="shared" si="2"/>
        <v>0</v>
      </c>
      <c r="M23" s="12"/>
      <c r="N23" s="12">
        <f t="shared" si="3"/>
        <v>0</v>
      </c>
      <c r="O23" s="12"/>
      <c r="P23" s="105">
        <f t="shared" si="4"/>
        <v>0</v>
      </c>
      <c r="Q23" s="90"/>
      <c r="R23" s="34"/>
      <c r="S23" s="12">
        <f t="shared" si="5"/>
        <v>0</v>
      </c>
      <c r="T23" s="12"/>
      <c r="U23" s="12">
        <f t="shared" si="6"/>
        <v>0</v>
      </c>
      <c r="V23" s="12"/>
      <c r="W23" s="12">
        <f t="shared" si="7"/>
        <v>0</v>
      </c>
      <c r="X23" s="12"/>
      <c r="Y23" s="105">
        <f t="shared" si="8"/>
        <v>0</v>
      </c>
      <c r="Z23" s="90"/>
      <c r="AA23" s="34"/>
      <c r="AB23" s="12">
        <f t="shared" si="9"/>
        <v>0</v>
      </c>
      <c r="AC23" s="12"/>
      <c r="AD23" s="12">
        <f t="shared" si="10"/>
        <v>0</v>
      </c>
      <c r="AE23" s="12"/>
      <c r="AF23" s="12">
        <f t="shared" si="11"/>
        <v>0</v>
      </c>
      <c r="AG23" s="12"/>
      <c r="AH23" s="13">
        <f t="shared" si="12"/>
        <v>0</v>
      </c>
      <c r="AI23" s="94">
        <v>0</v>
      </c>
      <c r="AJ23" s="34"/>
      <c r="AK23" s="240"/>
      <c r="AL23" s="89">
        <v>0</v>
      </c>
      <c r="AM23" s="34"/>
      <c r="AN23" s="83"/>
      <c r="AO23" s="118">
        <f t="shared" si="13"/>
        <v>0</v>
      </c>
      <c r="AP23" s="12">
        <f t="shared" si="14"/>
        <v>0</v>
      </c>
      <c r="AQ23" s="12">
        <f t="shared" si="15"/>
        <v>0</v>
      </c>
      <c r="AR23" s="113">
        <f t="shared" si="16"/>
        <v>0</v>
      </c>
      <c r="AS23" s="113">
        <f t="shared" si="17"/>
        <v>0</v>
      </c>
      <c r="AT23" s="113">
        <f t="shared" si="18"/>
        <v>0</v>
      </c>
      <c r="AU23" s="113">
        <f t="shared" si="19"/>
        <v>0</v>
      </c>
      <c r="AV23" s="113">
        <f t="shared" si="20"/>
        <v>0</v>
      </c>
      <c r="AW23" s="125">
        <f t="shared" si="21"/>
        <v>0</v>
      </c>
    </row>
    <row r="24" spans="1:49" x14ac:dyDescent="0.2">
      <c r="A24" s="40" t="s">
        <v>17</v>
      </c>
      <c r="B24" s="65" t="s">
        <v>78</v>
      </c>
      <c r="C24" s="115">
        <f>'[3]2016 ktgv bevétel_02'!$G$19</f>
        <v>0</v>
      </c>
      <c r="D24" s="17"/>
      <c r="E24" s="12">
        <f t="shared" si="0"/>
        <v>0</v>
      </c>
      <c r="F24" s="12"/>
      <c r="G24" s="105">
        <f t="shared" si="1"/>
        <v>0</v>
      </c>
      <c r="H24" s="115">
        <v>175162000</v>
      </c>
      <c r="I24" s="17"/>
      <c r="J24" s="17">
        <v>175162</v>
      </c>
      <c r="K24" s="17"/>
      <c r="L24" s="12">
        <f t="shared" si="2"/>
        <v>175162</v>
      </c>
      <c r="M24" s="12"/>
      <c r="N24" s="12">
        <f t="shared" si="3"/>
        <v>175162</v>
      </c>
      <c r="O24" s="12">
        <v>6488</v>
      </c>
      <c r="P24" s="105">
        <f t="shared" si="4"/>
        <v>181650</v>
      </c>
      <c r="Q24" s="115">
        <v>34306800</v>
      </c>
      <c r="R24" s="17"/>
      <c r="S24" s="12">
        <f t="shared" si="5"/>
        <v>34306.800000000003</v>
      </c>
      <c r="T24" s="12"/>
      <c r="U24" s="12">
        <f t="shared" si="6"/>
        <v>34306.800000000003</v>
      </c>
      <c r="V24" s="12"/>
      <c r="W24" s="12">
        <f t="shared" si="7"/>
        <v>34306.800000000003</v>
      </c>
      <c r="X24" s="12">
        <v>-66</v>
      </c>
      <c r="Y24" s="105">
        <f t="shared" si="8"/>
        <v>34240.800000000003</v>
      </c>
      <c r="Z24" s="115">
        <v>1197600</v>
      </c>
      <c r="AA24" s="17"/>
      <c r="AB24" s="12">
        <f t="shared" si="9"/>
        <v>1197.5999999999999</v>
      </c>
      <c r="AC24" s="12"/>
      <c r="AD24" s="12">
        <f t="shared" si="10"/>
        <v>1197.5999999999999</v>
      </c>
      <c r="AE24" s="12"/>
      <c r="AF24" s="12">
        <f t="shared" si="11"/>
        <v>1197.5999999999999</v>
      </c>
      <c r="AG24" s="12"/>
      <c r="AH24" s="13">
        <f t="shared" si="12"/>
        <v>1197.5999999999999</v>
      </c>
      <c r="AI24" s="93"/>
      <c r="AJ24" s="17"/>
      <c r="AK24" s="18"/>
      <c r="AL24" s="87"/>
      <c r="AM24" s="17"/>
      <c r="AN24" s="81"/>
      <c r="AO24" s="118">
        <f t="shared" si="13"/>
        <v>210666400</v>
      </c>
      <c r="AP24" s="12">
        <f t="shared" si="14"/>
        <v>0</v>
      </c>
      <c r="AQ24" s="12">
        <f t="shared" si="15"/>
        <v>210666.4</v>
      </c>
      <c r="AR24" s="113">
        <f t="shared" si="16"/>
        <v>0</v>
      </c>
      <c r="AS24" s="113">
        <f t="shared" si="17"/>
        <v>210666.4</v>
      </c>
      <c r="AT24" s="113">
        <f t="shared" si="18"/>
        <v>0</v>
      </c>
      <c r="AU24" s="113">
        <f t="shared" si="19"/>
        <v>210666.4</v>
      </c>
      <c r="AV24" s="113">
        <f t="shared" si="20"/>
        <v>6422</v>
      </c>
      <c r="AW24" s="125">
        <f t="shared" si="21"/>
        <v>217088.4</v>
      </c>
    </row>
    <row r="25" spans="1:49" x14ac:dyDescent="0.2">
      <c r="A25" s="40" t="s">
        <v>18</v>
      </c>
      <c r="B25" s="67" t="s">
        <v>79</v>
      </c>
      <c r="C25" s="115">
        <v>0</v>
      </c>
      <c r="D25" s="17"/>
      <c r="E25" s="12">
        <f t="shared" si="0"/>
        <v>0</v>
      </c>
      <c r="F25" s="12"/>
      <c r="G25" s="105">
        <f t="shared" si="1"/>
        <v>0</v>
      </c>
      <c r="H25" s="115">
        <v>0</v>
      </c>
      <c r="I25" s="17"/>
      <c r="J25" s="17"/>
      <c r="K25" s="17"/>
      <c r="L25" s="12">
        <f t="shared" si="2"/>
        <v>0</v>
      </c>
      <c r="M25" s="12"/>
      <c r="N25" s="12">
        <f t="shared" si="3"/>
        <v>0</v>
      </c>
      <c r="O25" s="12"/>
      <c r="P25" s="105">
        <f t="shared" si="4"/>
        <v>0</v>
      </c>
      <c r="Q25" s="115">
        <v>0</v>
      </c>
      <c r="R25" s="17"/>
      <c r="S25" s="12">
        <f t="shared" si="5"/>
        <v>0</v>
      </c>
      <c r="T25" s="12"/>
      <c r="U25" s="12">
        <f t="shared" si="6"/>
        <v>0</v>
      </c>
      <c r="V25" s="12"/>
      <c r="W25" s="12">
        <f t="shared" si="7"/>
        <v>0</v>
      </c>
      <c r="X25" s="12"/>
      <c r="Y25" s="105">
        <f t="shared" si="8"/>
        <v>0</v>
      </c>
      <c r="Z25" s="115">
        <v>0</v>
      </c>
      <c r="AA25" s="17"/>
      <c r="AB25" s="12">
        <f t="shared" si="9"/>
        <v>0</v>
      </c>
      <c r="AC25" s="12"/>
      <c r="AD25" s="12">
        <f t="shared" si="10"/>
        <v>0</v>
      </c>
      <c r="AE25" s="12"/>
      <c r="AF25" s="12">
        <f t="shared" si="11"/>
        <v>0</v>
      </c>
      <c r="AG25" s="12"/>
      <c r="AH25" s="13">
        <f t="shared" si="12"/>
        <v>0</v>
      </c>
      <c r="AI25" s="93"/>
      <c r="AJ25" s="17"/>
      <c r="AK25" s="18"/>
      <c r="AL25" s="87"/>
      <c r="AM25" s="17"/>
      <c r="AN25" s="81"/>
      <c r="AO25" s="118">
        <f t="shared" si="13"/>
        <v>0</v>
      </c>
      <c r="AP25" s="12">
        <f t="shared" si="14"/>
        <v>0</v>
      </c>
      <c r="AQ25" s="12">
        <f t="shared" si="15"/>
        <v>0</v>
      </c>
      <c r="AR25" s="113">
        <f t="shared" si="16"/>
        <v>0</v>
      </c>
      <c r="AS25" s="113">
        <f t="shared" si="17"/>
        <v>0</v>
      </c>
      <c r="AT25" s="113">
        <f t="shared" si="18"/>
        <v>0</v>
      </c>
      <c r="AU25" s="113">
        <f t="shared" si="19"/>
        <v>0</v>
      </c>
      <c r="AV25" s="113">
        <f t="shared" si="20"/>
        <v>0</v>
      </c>
      <c r="AW25" s="125">
        <f t="shared" si="21"/>
        <v>0</v>
      </c>
    </row>
    <row r="26" spans="1:49" x14ac:dyDescent="0.2">
      <c r="A26" s="40" t="s">
        <v>19</v>
      </c>
      <c r="B26" s="65" t="s">
        <v>40</v>
      </c>
      <c r="C26" s="50">
        <v>0</v>
      </c>
      <c r="D26" s="12"/>
      <c r="E26" s="12">
        <f t="shared" si="0"/>
        <v>0</v>
      </c>
      <c r="F26" s="12"/>
      <c r="G26" s="105">
        <f t="shared" si="1"/>
        <v>0</v>
      </c>
      <c r="H26" s="50">
        <v>0</v>
      </c>
      <c r="I26" s="12"/>
      <c r="J26" s="12"/>
      <c r="K26" s="12"/>
      <c r="L26" s="12">
        <f t="shared" si="2"/>
        <v>0</v>
      </c>
      <c r="M26" s="12"/>
      <c r="N26" s="12">
        <f t="shared" si="3"/>
        <v>0</v>
      </c>
      <c r="O26" s="12"/>
      <c r="P26" s="105">
        <f t="shared" si="4"/>
        <v>0</v>
      </c>
      <c r="Q26" s="50">
        <v>0</v>
      </c>
      <c r="R26" s="12"/>
      <c r="S26" s="12">
        <f t="shared" si="5"/>
        <v>0</v>
      </c>
      <c r="T26" s="12"/>
      <c r="U26" s="12">
        <f t="shared" si="6"/>
        <v>0</v>
      </c>
      <c r="V26" s="12"/>
      <c r="W26" s="12">
        <f t="shared" si="7"/>
        <v>0</v>
      </c>
      <c r="X26" s="12"/>
      <c r="Y26" s="105">
        <f t="shared" si="8"/>
        <v>0</v>
      </c>
      <c r="Z26" s="50">
        <v>0</v>
      </c>
      <c r="AA26" s="12"/>
      <c r="AB26" s="12">
        <f t="shared" si="9"/>
        <v>0</v>
      </c>
      <c r="AC26" s="12"/>
      <c r="AD26" s="12">
        <f t="shared" si="10"/>
        <v>0</v>
      </c>
      <c r="AE26" s="12"/>
      <c r="AF26" s="12">
        <f t="shared" si="11"/>
        <v>0</v>
      </c>
      <c r="AG26" s="12"/>
      <c r="AH26" s="13">
        <f t="shared" si="12"/>
        <v>0</v>
      </c>
      <c r="AI26" s="127"/>
      <c r="AJ26" s="12"/>
      <c r="AK26" s="13"/>
      <c r="AL26" s="102"/>
      <c r="AM26" s="12"/>
      <c r="AN26" s="105"/>
      <c r="AO26" s="118">
        <f t="shared" si="13"/>
        <v>0</v>
      </c>
      <c r="AP26" s="12">
        <f t="shared" si="14"/>
        <v>0</v>
      </c>
      <c r="AQ26" s="12">
        <f t="shared" si="15"/>
        <v>0</v>
      </c>
      <c r="AR26" s="113">
        <f t="shared" si="16"/>
        <v>0</v>
      </c>
      <c r="AS26" s="113">
        <f t="shared" si="17"/>
        <v>0</v>
      </c>
      <c r="AT26" s="113">
        <f t="shared" si="18"/>
        <v>0</v>
      </c>
      <c r="AU26" s="113">
        <f t="shared" si="19"/>
        <v>0</v>
      </c>
      <c r="AV26" s="113">
        <f t="shared" si="20"/>
        <v>0</v>
      </c>
      <c r="AW26" s="125">
        <f t="shared" si="21"/>
        <v>0</v>
      </c>
    </row>
    <row r="27" spans="1:49" x14ac:dyDescent="0.2">
      <c r="A27" s="40" t="s">
        <v>20</v>
      </c>
      <c r="B27" s="65" t="s">
        <v>49</v>
      </c>
      <c r="C27" s="50">
        <v>0</v>
      </c>
      <c r="D27" s="12"/>
      <c r="E27" s="12">
        <f t="shared" si="0"/>
        <v>0</v>
      </c>
      <c r="F27" s="12"/>
      <c r="G27" s="105">
        <f t="shared" si="1"/>
        <v>0</v>
      </c>
      <c r="H27" s="50">
        <v>2034000</v>
      </c>
      <c r="I27" s="12"/>
      <c r="J27" s="12">
        <v>2034</v>
      </c>
      <c r="K27" s="12"/>
      <c r="L27" s="12">
        <f t="shared" si="2"/>
        <v>2034</v>
      </c>
      <c r="M27" s="12"/>
      <c r="N27" s="12">
        <f t="shared" si="3"/>
        <v>2034</v>
      </c>
      <c r="O27" s="12">
        <v>453</v>
      </c>
      <c r="P27" s="105">
        <f t="shared" si="4"/>
        <v>2487</v>
      </c>
      <c r="Q27" s="50">
        <v>0</v>
      </c>
      <c r="R27" s="12"/>
      <c r="S27" s="12">
        <f t="shared" si="5"/>
        <v>0</v>
      </c>
      <c r="T27" s="12"/>
      <c r="U27" s="12">
        <f t="shared" si="6"/>
        <v>0</v>
      </c>
      <c r="V27" s="12"/>
      <c r="W27" s="12">
        <f t="shared" si="7"/>
        <v>0</v>
      </c>
      <c r="X27" s="12"/>
      <c r="Y27" s="105">
        <f t="shared" si="8"/>
        <v>0</v>
      </c>
      <c r="Z27" s="50">
        <v>0</v>
      </c>
      <c r="AA27" s="12"/>
      <c r="AB27" s="12">
        <f t="shared" si="9"/>
        <v>0</v>
      </c>
      <c r="AC27" s="12"/>
      <c r="AD27" s="12">
        <f t="shared" si="10"/>
        <v>0</v>
      </c>
      <c r="AE27" s="12"/>
      <c r="AF27" s="12">
        <f t="shared" si="11"/>
        <v>0</v>
      </c>
      <c r="AG27" s="12"/>
      <c r="AH27" s="13">
        <f t="shared" si="12"/>
        <v>0</v>
      </c>
      <c r="AI27" s="127"/>
      <c r="AJ27" s="12"/>
      <c r="AK27" s="13"/>
      <c r="AL27" s="102"/>
      <c r="AM27" s="12"/>
      <c r="AN27" s="105"/>
      <c r="AO27" s="118">
        <f t="shared" si="13"/>
        <v>2034000</v>
      </c>
      <c r="AP27" s="12">
        <f t="shared" si="14"/>
        <v>0</v>
      </c>
      <c r="AQ27" s="12">
        <f t="shared" si="15"/>
        <v>2034</v>
      </c>
      <c r="AR27" s="113">
        <f t="shared" si="16"/>
        <v>0</v>
      </c>
      <c r="AS27" s="113">
        <f t="shared" si="17"/>
        <v>2034</v>
      </c>
      <c r="AT27" s="113">
        <f t="shared" si="18"/>
        <v>0</v>
      </c>
      <c r="AU27" s="113">
        <f t="shared" si="19"/>
        <v>2034</v>
      </c>
      <c r="AV27" s="113">
        <f t="shared" si="20"/>
        <v>453</v>
      </c>
      <c r="AW27" s="125">
        <f t="shared" si="21"/>
        <v>2487</v>
      </c>
    </row>
    <row r="28" spans="1:49" x14ac:dyDescent="0.2">
      <c r="A28" s="40" t="s">
        <v>21</v>
      </c>
      <c r="B28" s="65" t="s">
        <v>50</v>
      </c>
      <c r="C28" s="50">
        <v>0</v>
      </c>
      <c r="D28" s="12"/>
      <c r="E28" s="12">
        <f t="shared" si="0"/>
        <v>0</v>
      </c>
      <c r="F28" s="12"/>
      <c r="G28" s="105">
        <f t="shared" si="1"/>
        <v>0</v>
      </c>
      <c r="H28" s="50">
        <v>0</v>
      </c>
      <c r="I28" s="12"/>
      <c r="J28" s="12"/>
      <c r="K28" s="12"/>
      <c r="L28" s="12">
        <f t="shared" si="2"/>
        <v>0</v>
      </c>
      <c r="M28" s="12"/>
      <c r="N28" s="12">
        <f t="shared" si="3"/>
        <v>0</v>
      </c>
      <c r="O28" s="12"/>
      <c r="P28" s="105">
        <f t="shared" si="4"/>
        <v>0</v>
      </c>
      <c r="Q28" s="50">
        <v>0</v>
      </c>
      <c r="R28" s="12"/>
      <c r="S28" s="12">
        <f t="shared" si="5"/>
        <v>0</v>
      </c>
      <c r="T28" s="12"/>
      <c r="U28" s="12">
        <f t="shared" si="6"/>
        <v>0</v>
      </c>
      <c r="V28" s="12"/>
      <c r="W28" s="12">
        <f t="shared" si="7"/>
        <v>0</v>
      </c>
      <c r="X28" s="12"/>
      <c r="Y28" s="105">
        <f t="shared" si="8"/>
        <v>0</v>
      </c>
      <c r="Z28" s="50">
        <v>0</v>
      </c>
      <c r="AA28" s="12"/>
      <c r="AB28" s="12">
        <f t="shared" si="9"/>
        <v>0</v>
      </c>
      <c r="AC28" s="12"/>
      <c r="AD28" s="12">
        <f t="shared" si="10"/>
        <v>0</v>
      </c>
      <c r="AE28" s="12"/>
      <c r="AF28" s="12">
        <f t="shared" si="11"/>
        <v>0</v>
      </c>
      <c r="AG28" s="12">
        <v>60</v>
      </c>
      <c r="AH28" s="13">
        <f t="shared" si="12"/>
        <v>60</v>
      </c>
      <c r="AI28" s="127"/>
      <c r="AJ28" s="12"/>
      <c r="AK28" s="13"/>
      <c r="AL28" s="102"/>
      <c r="AM28" s="12"/>
      <c r="AN28" s="105"/>
      <c r="AO28" s="118">
        <f t="shared" si="13"/>
        <v>0</v>
      </c>
      <c r="AP28" s="12">
        <f t="shared" si="14"/>
        <v>0</v>
      </c>
      <c r="AQ28" s="12">
        <f t="shared" si="15"/>
        <v>0</v>
      </c>
      <c r="AR28" s="113">
        <f t="shared" si="16"/>
        <v>0</v>
      </c>
      <c r="AS28" s="113">
        <f t="shared" si="17"/>
        <v>0</v>
      </c>
      <c r="AT28" s="113">
        <f t="shared" si="18"/>
        <v>0</v>
      </c>
      <c r="AU28" s="113">
        <f t="shared" si="19"/>
        <v>0</v>
      </c>
      <c r="AV28" s="113">
        <f t="shared" si="20"/>
        <v>60</v>
      </c>
      <c r="AW28" s="125">
        <f t="shared" si="21"/>
        <v>60</v>
      </c>
    </row>
    <row r="29" spans="1:49" s="7" customFormat="1" x14ac:dyDescent="0.2">
      <c r="A29" s="20" t="s">
        <v>22</v>
      </c>
      <c r="B29" s="68" t="s">
        <v>51</v>
      </c>
      <c r="C29" s="118">
        <f>C24+C26+C27+C28</f>
        <v>0</v>
      </c>
      <c r="D29" s="35">
        <f t="shared" ref="D29:AN29" si="25">D24+D26+D27+D28</f>
        <v>0</v>
      </c>
      <c r="E29" s="12">
        <f t="shared" si="0"/>
        <v>0</v>
      </c>
      <c r="F29" s="12"/>
      <c r="G29" s="105">
        <f t="shared" si="1"/>
        <v>0</v>
      </c>
      <c r="H29" s="118">
        <f>H24+H26+H27+H28</f>
        <v>177196000</v>
      </c>
      <c r="I29" s="48">
        <f t="shared" si="25"/>
        <v>0</v>
      </c>
      <c r="J29" s="48">
        <v>177196000</v>
      </c>
      <c r="K29" s="48"/>
      <c r="L29" s="12">
        <v>177196</v>
      </c>
      <c r="M29" s="12"/>
      <c r="N29" s="12">
        <f t="shared" si="3"/>
        <v>177196</v>
      </c>
      <c r="O29" s="12">
        <f>SUM(O24:O27)</f>
        <v>6941</v>
      </c>
      <c r="P29" s="105">
        <f t="shared" si="4"/>
        <v>184137</v>
      </c>
      <c r="Q29" s="118">
        <f t="shared" si="25"/>
        <v>34306800</v>
      </c>
      <c r="R29" s="48">
        <f t="shared" si="25"/>
        <v>0</v>
      </c>
      <c r="S29" s="12">
        <f t="shared" si="5"/>
        <v>34306.800000000003</v>
      </c>
      <c r="T29" s="12"/>
      <c r="U29" s="12">
        <f t="shared" si="6"/>
        <v>34306.800000000003</v>
      </c>
      <c r="V29" s="12"/>
      <c r="W29" s="12">
        <f t="shared" si="7"/>
        <v>34306.800000000003</v>
      </c>
      <c r="X29" s="12">
        <f>SUM(X24:X28)</f>
        <v>-66</v>
      </c>
      <c r="Y29" s="105">
        <f t="shared" si="8"/>
        <v>34240.800000000003</v>
      </c>
      <c r="Z29" s="118">
        <f t="shared" si="25"/>
        <v>1197600</v>
      </c>
      <c r="AA29" s="35">
        <f t="shared" si="25"/>
        <v>0</v>
      </c>
      <c r="AB29" s="12">
        <f t="shared" si="9"/>
        <v>1197.5999999999999</v>
      </c>
      <c r="AC29" s="12"/>
      <c r="AD29" s="12">
        <f t="shared" si="10"/>
        <v>1197.5999999999999</v>
      </c>
      <c r="AE29" s="12"/>
      <c r="AF29" s="12">
        <f t="shared" si="11"/>
        <v>1197.5999999999999</v>
      </c>
      <c r="AG29" s="12">
        <v>60</v>
      </c>
      <c r="AH29" s="13">
        <f t="shared" si="12"/>
        <v>1257.5999999999999</v>
      </c>
      <c r="AI29" s="257">
        <f t="shared" si="25"/>
        <v>0</v>
      </c>
      <c r="AJ29" s="35">
        <f t="shared" si="25"/>
        <v>0</v>
      </c>
      <c r="AK29" s="242">
        <f t="shared" si="25"/>
        <v>0</v>
      </c>
      <c r="AL29" s="241">
        <f t="shared" si="25"/>
        <v>0</v>
      </c>
      <c r="AM29" s="35">
        <f t="shared" si="25"/>
        <v>0</v>
      </c>
      <c r="AN29" s="259">
        <f t="shared" si="25"/>
        <v>0</v>
      </c>
      <c r="AO29" s="118">
        <f>C29+H29+Q29+Z29+AI29+AL29</f>
        <v>212700400</v>
      </c>
      <c r="AP29" s="12">
        <v>0</v>
      </c>
      <c r="AQ29" s="12">
        <v>212700</v>
      </c>
      <c r="AR29" s="113">
        <f t="shared" si="16"/>
        <v>0</v>
      </c>
      <c r="AS29" s="113">
        <f t="shared" si="17"/>
        <v>212700</v>
      </c>
      <c r="AT29" s="113">
        <f t="shared" si="18"/>
        <v>0</v>
      </c>
      <c r="AU29" s="113">
        <f t="shared" si="19"/>
        <v>212700</v>
      </c>
      <c r="AV29" s="113">
        <f t="shared" si="20"/>
        <v>6935</v>
      </c>
      <c r="AW29" s="125">
        <f t="shared" si="21"/>
        <v>219635</v>
      </c>
    </row>
    <row r="30" spans="1:49" x14ac:dyDescent="0.2">
      <c r="A30" s="40" t="s">
        <v>23</v>
      </c>
      <c r="B30" s="65" t="s">
        <v>80</v>
      </c>
      <c r="C30" s="50">
        <v>0</v>
      </c>
      <c r="D30" s="12"/>
      <c r="E30" s="12">
        <f t="shared" si="0"/>
        <v>0</v>
      </c>
      <c r="F30" s="12"/>
      <c r="G30" s="105">
        <f t="shared" si="1"/>
        <v>0</v>
      </c>
      <c r="H30" s="50">
        <v>0</v>
      </c>
      <c r="I30" s="12"/>
      <c r="J30" s="12"/>
      <c r="K30" s="12"/>
      <c r="L30" s="12">
        <f t="shared" si="2"/>
        <v>0</v>
      </c>
      <c r="M30" s="12"/>
      <c r="N30" s="12">
        <f t="shared" si="3"/>
        <v>0</v>
      </c>
      <c r="O30" s="12"/>
      <c r="P30" s="105">
        <f t="shared" si="4"/>
        <v>0</v>
      </c>
      <c r="Q30" s="50">
        <v>0</v>
      </c>
      <c r="R30" s="12"/>
      <c r="S30" s="12">
        <f t="shared" si="5"/>
        <v>0</v>
      </c>
      <c r="T30" s="12"/>
      <c r="U30" s="12">
        <f t="shared" si="6"/>
        <v>0</v>
      </c>
      <c r="V30" s="12"/>
      <c r="W30" s="12">
        <f t="shared" si="7"/>
        <v>0</v>
      </c>
      <c r="X30" s="12"/>
      <c r="Y30" s="105">
        <f t="shared" si="8"/>
        <v>0</v>
      </c>
      <c r="Z30" s="50">
        <v>0</v>
      </c>
      <c r="AA30" s="12"/>
      <c r="AB30" s="12">
        <f t="shared" si="9"/>
        <v>0</v>
      </c>
      <c r="AC30" s="12"/>
      <c r="AD30" s="12">
        <f t="shared" si="10"/>
        <v>0</v>
      </c>
      <c r="AE30" s="12"/>
      <c r="AF30" s="12">
        <f t="shared" si="11"/>
        <v>0</v>
      </c>
      <c r="AG30" s="12"/>
      <c r="AH30" s="13">
        <f t="shared" si="12"/>
        <v>0</v>
      </c>
      <c r="AI30" s="127">
        <v>0</v>
      </c>
      <c r="AJ30" s="12"/>
      <c r="AK30" s="13"/>
      <c r="AL30" s="102">
        <v>0</v>
      </c>
      <c r="AM30" s="12"/>
      <c r="AN30" s="105"/>
      <c r="AO30" s="118">
        <f t="shared" si="13"/>
        <v>0</v>
      </c>
      <c r="AP30" s="12">
        <f t="shared" si="14"/>
        <v>0</v>
      </c>
      <c r="AQ30" s="12">
        <f t="shared" si="15"/>
        <v>0</v>
      </c>
      <c r="AR30" s="113">
        <f t="shared" si="16"/>
        <v>0</v>
      </c>
      <c r="AS30" s="113">
        <f t="shared" si="17"/>
        <v>0</v>
      </c>
      <c r="AT30" s="113">
        <f t="shared" si="18"/>
        <v>0</v>
      </c>
      <c r="AU30" s="113">
        <f t="shared" si="19"/>
        <v>0</v>
      </c>
      <c r="AV30" s="113">
        <f t="shared" si="20"/>
        <v>0</v>
      </c>
      <c r="AW30" s="125">
        <f t="shared" si="21"/>
        <v>0</v>
      </c>
    </row>
    <row r="31" spans="1:49" s="7" customFormat="1" x14ac:dyDescent="0.2">
      <c r="A31" s="40" t="s">
        <v>24</v>
      </c>
      <c r="B31" s="65" t="s">
        <v>52</v>
      </c>
      <c r="C31" s="50">
        <v>0</v>
      </c>
      <c r="D31" s="12"/>
      <c r="E31" s="12">
        <f t="shared" si="0"/>
        <v>0</v>
      </c>
      <c r="F31" s="12"/>
      <c r="G31" s="105">
        <f t="shared" si="1"/>
        <v>0</v>
      </c>
      <c r="H31" s="50">
        <v>0</v>
      </c>
      <c r="I31" s="12"/>
      <c r="J31" s="12"/>
      <c r="K31" s="12"/>
      <c r="L31" s="12">
        <f t="shared" si="2"/>
        <v>0</v>
      </c>
      <c r="M31" s="12"/>
      <c r="N31" s="12">
        <f t="shared" si="3"/>
        <v>0</v>
      </c>
      <c r="O31" s="12"/>
      <c r="P31" s="105">
        <f t="shared" si="4"/>
        <v>0</v>
      </c>
      <c r="Q31" s="50">
        <v>0</v>
      </c>
      <c r="R31" s="12"/>
      <c r="S31" s="12">
        <f t="shared" si="5"/>
        <v>0</v>
      </c>
      <c r="T31" s="12"/>
      <c r="U31" s="12">
        <f t="shared" si="6"/>
        <v>0</v>
      </c>
      <c r="V31" s="12"/>
      <c r="W31" s="12">
        <f t="shared" si="7"/>
        <v>0</v>
      </c>
      <c r="X31" s="12"/>
      <c r="Y31" s="105">
        <f t="shared" si="8"/>
        <v>0</v>
      </c>
      <c r="Z31" s="50">
        <v>0</v>
      </c>
      <c r="AA31" s="12"/>
      <c r="AB31" s="12">
        <f t="shared" si="9"/>
        <v>0</v>
      </c>
      <c r="AC31" s="12"/>
      <c r="AD31" s="12">
        <f t="shared" si="10"/>
        <v>0</v>
      </c>
      <c r="AE31" s="12"/>
      <c r="AF31" s="12">
        <f t="shared" si="11"/>
        <v>0</v>
      </c>
      <c r="AG31" s="12"/>
      <c r="AH31" s="13">
        <f t="shared" si="12"/>
        <v>0</v>
      </c>
      <c r="AI31" s="127">
        <v>0</v>
      </c>
      <c r="AJ31" s="12"/>
      <c r="AK31" s="13"/>
      <c r="AL31" s="102">
        <v>0</v>
      </c>
      <c r="AM31" s="12"/>
      <c r="AN31" s="105"/>
      <c r="AO31" s="118">
        <f t="shared" si="13"/>
        <v>0</v>
      </c>
      <c r="AP31" s="12">
        <f t="shared" si="14"/>
        <v>0</v>
      </c>
      <c r="AQ31" s="12">
        <f t="shared" si="15"/>
        <v>0</v>
      </c>
      <c r="AR31" s="113">
        <f t="shared" si="16"/>
        <v>0</v>
      </c>
      <c r="AS31" s="113">
        <f t="shared" si="17"/>
        <v>0</v>
      </c>
      <c r="AT31" s="113">
        <f t="shared" si="18"/>
        <v>0</v>
      </c>
      <c r="AU31" s="113">
        <f t="shared" si="19"/>
        <v>0</v>
      </c>
      <c r="AV31" s="113">
        <f t="shared" si="20"/>
        <v>0</v>
      </c>
      <c r="AW31" s="125">
        <f t="shared" si="21"/>
        <v>0</v>
      </c>
    </row>
    <row r="32" spans="1:49" x14ac:dyDescent="0.2">
      <c r="A32" s="40" t="s">
        <v>25</v>
      </c>
      <c r="B32" s="65" t="s">
        <v>53</v>
      </c>
      <c r="C32" s="50">
        <v>0</v>
      </c>
      <c r="D32" s="12"/>
      <c r="E32" s="12">
        <f t="shared" si="0"/>
        <v>0</v>
      </c>
      <c r="F32" s="12"/>
      <c r="G32" s="105">
        <f t="shared" si="1"/>
        <v>0</v>
      </c>
      <c r="H32" s="50">
        <v>0</v>
      </c>
      <c r="I32" s="12"/>
      <c r="J32" s="12"/>
      <c r="K32" s="12"/>
      <c r="L32" s="12">
        <f t="shared" si="2"/>
        <v>0</v>
      </c>
      <c r="M32" s="12"/>
      <c r="N32" s="12">
        <f t="shared" si="3"/>
        <v>0</v>
      </c>
      <c r="O32" s="12"/>
      <c r="P32" s="105">
        <f t="shared" si="4"/>
        <v>0</v>
      </c>
      <c r="Q32" s="50">
        <v>0</v>
      </c>
      <c r="R32" s="12"/>
      <c r="S32" s="12">
        <f t="shared" si="5"/>
        <v>0</v>
      </c>
      <c r="T32" s="12"/>
      <c r="U32" s="12">
        <f t="shared" si="6"/>
        <v>0</v>
      </c>
      <c r="V32" s="12"/>
      <c r="W32" s="12">
        <f t="shared" si="7"/>
        <v>0</v>
      </c>
      <c r="X32" s="12"/>
      <c r="Y32" s="105">
        <f t="shared" si="8"/>
        <v>0</v>
      </c>
      <c r="Z32" s="50">
        <v>0</v>
      </c>
      <c r="AA32" s="12"/>
      <c r="AB32" s="12">
        <f t="shared" si="9"/>
        <v>0</v>
      </c>
      <c r="AC32" s="12"/>
      <c r="AD32" s="12">
        <f t="shared" si="10"/>
        <v>0</v>
      </c>
      <c r="AE32" s="12"/>
      <c r="AF32" s="12">
        <f t="shared" si="11"/>
        <v>0</v>
      </c>
      <c r="AG32" s="12"/>
      <c r="AH32" s="13">
        <f t="shared" si="12"/>
        <v>0</v>
      </c>
      <c r="AI32" s="127">
        <v>0</v>
      </c>
      <c r="AJ32" s="12"/>
      <c r="AK32" s="13"/>
      <c r="AL32" s="102">
        <v>0</v>
      </c>
      <c r="AM32" s="35"/>
      <c r="AN32" s="259"/>
      <c r="AO32" s="118">
        <f t="shared" si="13"/>
        <v>0</v>
      </c>
      <c r="AP32" s="12">
        <f t="shared" si="14"/>
        <v>0</v>
      </c>
      <c r="AQ32" s="12">
        <f t="shared" si="15"/>
        <v>0</v>
      </c>
      <c r="AR32" s="113">
        <f t="shared" si="16"/>
        <v>0</v>
      </c>
      <c r="AS32" s="113">
        <f t="shared" si="17"/>
        <v>0</v>
      </c>
      <c r="AT32" s="113">
        <f t="shared" si="18"/>
        <v>0</v>
      </c>
      <c r="AU32" s="113">
        <f t="shared" si="19"/>
        <v>0</v>
      </c>
      <c r="AV32" s="113">
        <f t="shared" si="20"/>
        <v>0</v>
      </c>
      <c r="AW32" s="125">
        <f t="shared" si="21"/>
        <v>0</v>
      </c>
    </row>
    <row r="33" spans="1:51" s="7" customFormat="1" x14ac:dyDescent="0.2">
      <c r="A33" s="20" t="s">
        <v>26</v>
      </c>
      <c r="B33" s="68" t="s">
        <v>54</v>
      </c>
      <c r="C33" s="118">
        <f>C30+C31+C32</f>
        <v>0</v>
      </c>
      <c r="D33" s="35">
        <f t="shared" ref="D33:AN33" si="26">D30+D31+D32</f>
        <v>0</v>
      </c>
      <c r="E33" s="12">
        <f t="shared" si="0"/>
        <v>0</v>
      </c>
      <c r="F33" s="12"/>
      <c r="G33" s="105">
        <f t="shared" si="1"/>
        <v>0</v>
      </c>
      <c r="H33" s="118">
        <f t="shared" si="26"/>
        <v>0</v>
      </c>
      <c r="I33" s="35">
        <f t="shared" si="26"/>
        <v>0</v>
      </c>
      <c r="J33" s="35">
        <f t="shared" si="26"/>
        <v>0</v>
      </c>
      <c r="K33" s="35"/>
      <c r="L33" s="12">
        <f t="shared" si="2"/>
        <v>0</v>
      </c>
      <c r="M33" s="12"/>
      <c r="N33" s="12">
        <f t="shared" si="3"/>
        <v>0</v>
      </c>
      <c r="O33" s="12"/>
      <c r="P33" s="105">
        <f t="shared" si="4"/>
        <v>0</v>
      </c>
      <c r="Q33" s="118">
        <f t="shared" si="26"/>
        <v>0</v>
      </c>
      <c r="R33" s="35">
        <f t="shared" si="26"/>
        <v>0</v>
      </c>
      <c r="S33" s="12">
        <f t="shared" si="5"/>
        <v>0</v>
      </c>
      <c r="T33" s="12"/>
      <c r="U33" s="12">
        <f t="shared" si="6"/>
        <v>0</v>
      </c>
      <c r="V33" s="12"/>
      <c r="W33" s="12">
        <f t="shared" si="7"/>
        <v>0</v>
      </c>
      <c r="X33" s="12"/>
      <c r="Y33" s="105">
        <f t="shared" si="8"/>
        <v>0</v>
      </c>
      <c r="Z33" s="118">
        <f t="shared" si="26"/>
        <v>0</v>
      </c>
      <c r="AA33" s="35">
        <f t="shared" si="26"/>
        <v>0</v>
      </c>
      <c r="AB33" s="12">
        <f t="shared" si="9"/>
        <v>0</v>
      </c>
      <c r="AC33" s="12"/>
      <c r="AD33" s="12">
        <f t="shared" si="10"/>
        <v>0</v>
      </c>
      <c r="AE33" s="12"/>
      <c r="AF33" s="12">
        <f t="shared" si="11"/>
        <v>0</v>
      </c>
      <c r="AG33" s="12"/>
      <c r="AH33" s="13">
        <f t="shared" si="12"/>
        <v>0</v>
      </c>
      <c r="AI33" s="257">
        <f t="shared" si="26"/>
        <v>0</v>
      </c>
      <c r="AJ33" s="35">
        <f t="shared" si="26"/>
        <v>0</v>
      </c>
      <c r="AK33" s="242">
        <f t="shared" si="26"/>
        <v>0</v>
      </c>
      <c r="AL33" s="241">
        <f t="shared" si="26"/>
        <v>0</v>
      </c>
      <c r="AM33" s="35">
        <f t="shared" si="26"/>
        <v>0</v>
      </c>
      <c r="AN33" s="259">
        <f t="shared" si="26"/>
        <v>0</v>
      </c>
      <c r="AO33" s="118">
        <f t="shared" si="13"/>
        <v>0</v>
      </c>
      <c r="AP33" s="12">
        <f t="shared" si="14"/>
        <v>0</v>
      </c>
      <c r="AQ33" s="12">
        <f t="shared" si="15"/>
        <v>0</v>
      </c>
      <c r="AR33" s="113">
        <f t="shared" si="16"/>
        <v>0</v>
      </c>
      <c r="AS33" s="113">
        <f t="shared" si="17"/>
        <v>0</v>
      </c>
      <c r="AT33" s="113">
        <f t="shared" si="18"/>
        <v>0</v>
      </c>
      <c r="AU33" s="113">
        <f t="shared" si="19"/>
        <v>0</v>
      </c>
      <c r="AV33" s="113">
        <f t="shared" si="20"/>
        <v>0</v>
      </c>
      <c r="AW33" s="125">
        <f t="shared" si="21"/>
        <v>0</v>
      </c>
    </row>
    <row r="34" spans="1:51" s="7" customFormat="1" x14ac:dyDescent="0.2">
      <c r="A34" s="20" t="s">
        <v>27</v>
      </c>
      <c r="B34" s="68" t="s">
        <v>74</v>
      </c>
      <c r="C34" s="118">
        <f>C35+C36+C37</f>
        <v>19188000</v>
      </c>
      <c r="D34" s="48">
        <f t="shared" ref="D34:AN34" si="27">D35+D36+D37</f>
        <v>0</v>
      </c>
      <c r="E34" s="12">
        <v>19188</v>
      </c>
      <c r="F34" s="12">
        <v>1599</v>
      </c>
      <c r="G34" s="105">
        <f t="shared" si="1"/>
        <v>20787</v>
      </c>
      <c r="H34" s="118">
        <f t="shared" si="27"/>
        <v>31294944</v>
      </c>
      <c r="I34" s="48">
        <v>1182000</v>
      </c>
      <c r="J34" s="48">
        <v>32477000</v>
      </c>
      <c r="K34" s="35">
        <v>-29</v>
      </c>
      <c r="L34" s="12">
        <v>32448</v>
      </c>
      <c r="M34" s="12">
        <v>-2428</v>
      </c>
      <c r="N34" s="12">
        <f t="shared" si="3"/>
        <v>30020</v>
      </c>
      <c r="O34" s="12">
        <v>508</v>
      </c>
      <c r="P34" s="105">
        <f t="shared" si="4"/>
        <v>30528</v>
      </c>
      <c r="Q34" s="118">
        <f t="shared" si="27"/>
        <v>-5159998</v>
      </c>
      <c r="R34" s="48">
        <f t="shared" si="27"/>
        <v>0</v>
      </c>
      <c r="S34" s="12">
        <f t="shared" si="5"/>
        <v>-5159.9979999999996</v>
      </c>
      <c r="T34" s="12">
        <v>237</v>
      </c>
      <c r="U34" s="12">
        <f t="shared" si="6"/>
        <v>-4922.9979999999996</v>
      </c>
      <c r="V34" s="12">
        <v>453</v>
      </c>
      <c r="W34" s="12">
        <f t="shared" si="7"/>
        <v>-4469.9979999999996</v>
      </c>
      <c r="X34" s="12">
        <v>-430</v>
      </c>
      <c r="Y34" s="105">
        <f t="shared" si="8"/>
        <v>-4899.9979999999996</v>
      </c>
      <c r="Z34" s="118">
        <f t="shared" si="27"/>
        <v>11479042</v>
      </c>
      <c r="AA34" s="48">
        <f t="shared" si="27"/>
        <v>0</v>
      </c>
      <c r="AB34" s="12">
        <f t="shared" si="9"/>
        <v>11479.041999999999</v>
      </c>
      <c r="AC34" s="12">
        <v>-208</v>
      </c>
      <c r="AD34" s="12">
        <f t="shared" si="10"/>
        <v>11271.041999999999</v>
      </c>
      <c r="AE34" s="12">
        <v>376</v>
      </c>
      <c r="AF34" s="12">
        <f t="shared" si="11"/>
        <v>11647.041999999999</v>
      </c>
      <c r="AG34" s="12">
        <v>-79</v>
      </c>
      <c r="AH34" s="13">
        <f t="shared" si="12"/>
        <v>11568.041999999999</v>
      </c>
      <c r="AI34" s="128">
        <f t="shared" si="27"/>
        <v>0</v>
      </c>
      <c r="AJ34" s="48">
        <f t="shared" si="27"/>
        <v>0</v>
      </c>
      <c r="AK34" s="243">
        <f t="shared" si="27"/>
        <v>0</v>
      </c>
      <c r="AL34" s="118">
        <f t="shared" si="27"/>
        <v>0</v>
      </c>
      <c r="AM34" s="48">
        <f t="shared" si="27"/>
        <v>0</v>
      </c>
      <c r="AN34" s="260">
        <f t="shared" si="27"/>
        <v>0</v>
      </c>
      <c r="AO34" s="118">
        <f>C34+H34+Q34+Z34+AI34+AL34</f>
        <v>56801988</v>
      </c>
      <c r="AP34" s="12">
        <v>1182</v>
      </c>
      <c r="AQ34" s="12">
        <v>57984</v>
      </c>
      <c r="AR34" s="113">
        <f t="shared" si="16"/>
        <v>0</v>
      </c>
      <c r="AS34" s="113">
        <f t="shared" si="17"/>
        <v>57984</v>
      </c>
      <c r="AT34" s="113">
        <f t="shared" si="18"/>
        <v>0</v>
      </c>
      <c r="AU34" s="113">
        <f t="shared" si="19"/>
        <v>57984</v>
      </c>
      <c r="AV34" s="113">
        <f t="shared" si="20"/>
        <v>-1</v>
      </c>
      <c r="AW34" s="125">
        <f t="shared" si="21"/>
        <v>57983</v>
      </c>
    </row>
    <row r="35" spans="1:51" x14ac:dyDescent="0.2">
      <c r="A35" s="40" t="s">
        <v>28</v>
      </c>
      <c r="B35" s="67" t="s">
        <v>75</v>
      </c>
      <c r="C35" s="124">
        <v>19188000</v>
      </c>
      <c r="D35" s="33"/>
      <c r="E35" s="12">
        <v>19188</v>
      </c>
      <c r="F35" s="12">
        <v>1599</v>
      </c>
      <c r="G35" s="105">
        <f t="shared" si="1"/>
        <v>20787</v>
      </c>
      <c r="H35" s="124">
        <v>28294944</v>
      </c>
      <c r="I35" s="33">
        <v>54</v>
      </c>
      <c r="J35" s="33">
        <v>28349</v>
      </c>
      <c r="K35" s="33">
        <v>-29</v>
      </c>
      <c r="L35" s="12">
        <f t="shared" si="2"/>
        <v>28320</v>
      </c>
      <c r="M35" s="12">
        <v>-2428</v>
      </c>
      <c r="N35" s="12">
        <f t="shared" si="3"/>
        <v>25892</v>
      </c>
      <c r="O35" s="12">
        <v>508</v>
      </c>
      <c r="P35" s="105">
        <f t="shared" si="4"/>
        <v>26400</v>
      </c>
      <c r="Q35" s="124">
        <v>-5159998</v>
      </c>
      <c r="R35" s="33"/>
      <c r="S35" s="12">
        <f t="shared" si="5"/>
        <v>-5159.9979999999996</v>
      </c>
      <c r="T35" s="12">
        <v>237</v>
      </c>
      <c r="U35" s="12">
        <f t="shared" si="6"/>
        <v>-4922.9979999999996</v>
      </c>
      <c r="V35" s="12">
        <v>453</v>
      </c>
      <c r="W35" s="12">
        <f t="shared" si="7"/>
        <v>-4469.9979999999996</v>
      </c>
      <c r="X35" s="12">
        <v>-430</v>
      </c>
      <c r="Y35" s="105">
        <f t="shared" si="8"/>
        <v>-4899.9979999999996</v>
      </c>
      <c r="Z35" s="124">
        <v>11479042</v>
      </c>
      <c r="AA35" s="33"/>
      <c r="AB35" s="12">
        <f t="shared" si="9"/>
        <v>11479.041999999999</v>
      </c>
      <c r="AC35" s="12">
        <v>-208</v>
      </c>
      <c r="AD35" s="12">
        <f t="shared" si="10"/>
        <v>11271.041999999999</v>
      </c>
      <c r="AE35" s="12">
        <v>376</v>
      </c>
      <c r="AF35" s="12">
        <f t="shared" si="11"/>
        <v>11647.041999999999</v>
      </c>
      <c r="AG35" s="12">
        <v>-79</v>
      </c>
      <c r="AH35" s="13">
        <f t="shared" si="12"/>
        <v>11568.041999999999</v>
      </c>
      <c r="AI35" s="258">
        <v>0</v>
      </c>
      <c r="AJ35" s="33"/>
      <c r="AK35" s="245"/>
      <c r="AL35" s="244">
        <v>0</v>
      </c>
      <c r="AM35" s="33"/>
      <c r="AN35" s="261"/>
      <c r="AO35" s="131">
        <f>C35+H35+Q35+Z35</f>
        <v>53801988</v>
      </c>
      <c r="AP35" s="12">
        <v>54</v>
      </c>
      <c r="AQ35" s="12">
        <f t="shared" si="15"/>
        <v>53856.044000000002</v>
      </c>
      <c r="AR35" s="113">
        <f t="shared" si="16"/>
        <v>0</v>
      </c>
      <c r="AS35" s="113">
        <f t="shared" si="17"/>
        <v>53856.044000000002</v>
      </c>
      <c r="AT35" s="113">
        <f t="shared" si="18"/>
        <v>0</v>
      </c>
      <c r="AU35" s="113">
        <f t="shared" si="19"/>
        <v>53856.044000000002</v>
      </c>
      <c r="AV35" s="113">
        <f t="shared" si="20"/>
        <v>-1</v>
      </c>
      <c r="AW35" s="125">
        <f t="shared" si="21"/>
        <v>53855.044000000002</v>
      </c>
    </row>
    <row r="36" spans="1:51" x14ac:dyDescent="0.2">
      <c r="A36" s="40" t="s">
        <v>29</v>
      </c>
      <c r="B36" s="67" t="s">
        <v>81</v>
      </c>
      <c r="C36" s="124"/>
      <c r="D36" s="33"/>
      <c r="E36" s="12">
        <f t="shared" si="0"/>
        <v>0</v>
      </c>
      <c r="F36" s="12"/>
      <c r="G36" s="105">
        <f t="shared" si="1"/>
        <v>0</v>
      </c>
      <c r="H36" s="124">
        <v>3000000</v>
      </c>
      <c r="I36" s="33">
        <v>1128</v>
      </c>
      <c r="J36" s="33">
        <v>4128</v>
      </c>
      <c r="K36" s="33"/>
      <c r="L36" s="12">
        <f t="shared" si="2"/>
        <v>4128</v>
      </c>
      <c r="M36" s="12"/>
      <c r="N36" s="12">
        <f t="shared" si="3"/>
        <v>4128</v>
      </c>
      <c r="O36" s="12"/>
      <c r="P36" s="105">
        <f t="shared" si="4"/>
        <v>4128</v>
      </c>
      <c r="Q36" s="124"/>
      <c r="R36" s="33"/>
      <c r="S36" s="12">
        <f t="shared" si="5"/>
        <v>0</v>
      </c>
      <c r="T36" s="12"/>
      <c r="U36" s="12">
        <f t="shared" si="6"/>
        <v>0</v>
      </c>
      <c r="V36" s="12"/>
      <c r="W36" s="12">
        <f t="shared" si="7"/>
        <v>0</v>
      </c>
      <c r="X36" s="12"/>
      <c r="Y36" s="105">
        <f t="shared" si="8"/>
        <v>0</v>
      </c>
      <c r="Z36" s="124">
        <v>0</v>
      </c>
      <c r="AA36" s="33"/>
      <c r="AB36" s="12">
        <f t="shared" si="9"/>
        <v>0</v>
      </c>
      <c r="AC36" s="12"/>
      <c r="AD36" s="12">
        <f t="shared" si="10"/>
        <v>0</v>
      </c>
      <c r="AE36" s="12"/>
      <c r="AF36" s="12">
        <f t="shared" si="11"/>
        <v>0</v>
      </c>
      <c r="AG36" s="12"/>
      <c r="AH36" s="13">
        <f t="shared" si="12"/>
        <v>0</v>
      </c>
      <c r="AI36" s="258">
        <v>0</v>
      </c>
      <c r="AJ36" s="33"/>
      <c r="AK36" s="245"/>
      <c r="AL36" s="244">
        <v>0</v>
      </c>
      <c r="AM36" s="33"/>
      <c r="AN36" s="261"/>
      <c r="AO36" s="131">
        <v>3000000</v>
      </c>
      <c r="AP36" s="12">
        <v>1128</v>
      </c>
      <c r="AQ36" s="12">
        <f t="shared" si="15"/>
        <v>4128</v>
      </c>
      <c r="AR36" s="113">
        <f t="shared" si="16"/>
        <v>0</v>
      </c>
      <c r="AS36" s="113">
        <f t="shared" si="17"/>
        <v>4128</v>
      </c>
      <c r="AT36" s="113">
        <f t="shared" si="18"/>
        <v>0</v>
      </c>
      <c r="AU36" s="113">
        <f t="shared" si="19"/>
        <v>4128</v>
      </c>
      <c r="AV36" s="113">
        <f t="shared" si="20"/>
        <v>0</v>
      </c>
      <c r="AW36" s="125">
        <f t="shared" si="21"/>
        <v>4128</v>
      </c>
    </row>
    <row r="37" spans="1:51" x14ac:dyDescent="0.2">
      <c r="A37" s="40" t="s">
        <v>30</v>
      </c>
      <c r="B37" s="67" t="s">
        <v>76</v>
      </c>
      <c r="C37" s="124">
        <v>0</v>
      </c>
      <c r="D37" s="33"/>
      <c r="E37" s="12">
        <f t="shared" si="0"/>
        <v>0</v>
      </c>
      <c r="F37" s="12"/>
      <c r="G37" s="105">
        <f t="shared" si="1"/>
        <v>0</v>
      </c>
      <c r="H37" s="124"/>
      <c r="I37" s="33"/>
      <c r="J37" s="33"/>
      <c r="K37" s="33"/>
      <c r="L37" s="12">
        <f t="shared" si="2"/>
        <v>0</v>
      </c>
      <c r="M37" s="12"/>
      <c r="N37" s="12">
        <f t="shared" si="3"/>
        <v>0</v>
      </c>
      <c r="O37" s="12"/>
      <c r="P37" s="105">
        <f t="shared" si="4"/>
        <v>0</v>
      </c>
      <c r="Q37" s="124"/>
      <c r="R37" s="33"/>
      <c r="S37" s="12">
        <f t="shared" si="5"/>
        <v>0</v>
      </c>
      <c r="T37" s="12"/>
      <c r="U37" s="12">
        <f t="shared" si="6"/>
        <v>0</v>
      </c>
      <c r="V37" s="12"/>
      <c r="W37" s="12">
        <f t="shared" si="7"/>
        <v>0</v>
      </c>
      <c r="X37" s="12"/>
      <c r="Y37" s="105">
        <f t="shared" si="8"/>
        <v>0</v>
      </c>
      <c r="Z37" s="124">
        <v>0</v>
      </c>
      <c r="AA37" s="33"/>
      <c r="AB37" s="12">
        <f t="shared" si="9"/>
        <v>0</v>
      </c>
      <c r="AC37" s="12"/>
      <c r="AD37" s="12">
        <f t="shared" si="10"/>
        <v>0</v>
      </c>
      <c r="AE37" s="12"/>
      <c r="AF37" s="12">
        <f t="shared" si="11"/>
        <v>0</v>
      </c>
      <c r="AG37" s="12"/>
      <c r="AH37" s="13">
        <f t="shared" si="12"/>
        <v>0</v>
      </c>
      <c r="AI37" s="258">
        <v>0</v>
      </c>
      <c r="AJ37" s="33"/>
      <c r="AK37" s="245"/>
      <c r="AL37" s="244">
        <v>0</v>
      </c>
      <c r="AM37" s="33"/>
      <c r="AN37" s="261"/>
      <c r="AO37" s="131">
        <f t="shared" ref="AO37" si="28">C37+H37+Q37+Z37+AI37+AL37</f>
        <v>0</v>
      </c>
      <c r="AP37" s="12">
        <f t="shared" si="14"/>
        <v>0</v>
      </c>
      <c r="AQ37" s="12">
        <f t="shared" si="15"/>
        <v>0</v>
      </c>
      <c r="AR37" s="113">
        <f t="shared" si="16"/>
        <v>0</v>
      </c>
      <c r="AS37" s="113">
        <f t="shared" si="17"/>
        <v>0</v>
      </c>
      <c r="AT37" s="113">
        <f t="shared" si="18"/>
        <v>0</v>
      </c>
      <c r="AU37" s="113">
        <f t="shared" si="19"/>
        <v>0</v>
      </c>
      <c r="AV37" s="113">
        <f t="shared" si="20"/>
        <v>0</v>
      </c>
      <c r="AW37" s="125">
        <f t="shared" si="21"/>
        <v>0</v>
      </c>
    </row>
    <row r="38" spans="1:51" s="7" customFormat="1" x14ac:dyDescent="0.2">
      <c r="A38" s="20" t="s">
        <v>31</v>
      </c>
      <c r="B38" s="68" t="s">
        <v>56</v>
      </c>
      <c r="C38" s="118">
        <f>C34+C33+C29</f>
        <v>19188000</v>
      </c>
      <c r="D38" s="35">
        <f t="shared" ref="D38:AN38" si="29">D34+D33+D29</f>
        <v>0</v>
      </c>
      <c r="E38" s="12">
        <v>19188</v>
      </c>
      <c r="F38" s="12">
        <v>1599</v>
      </c>
      <c r="G38" s="105">
        <f t="shared" si="1"/>
        <v>20787</v>
      </c>
      <c r="H38" s="118">
        <f>H34+H33+H29</f>
        <v>208490944</v>
      </c>
      <c r="I38" s="35">
        <v>1182</v>
      </c>
      <c r="J38" s="35">
        <v>209673</v>
      </c>
      <c r="K38" s="35">
        <v>-29</v>
      </c>
      <c r="L38" s="12">
        <f t="shared" si="2"/>
        <v>209644</v>
      </c>
      <c r="M38" s="12">
        <v>-2428</v>
      </c>
      <c r="N38" s="12">
        <f t="shared" si="3"/>
        <v>207216</v>
      </c>
      <c r="O38" s="12">
        <v>7449</v>
      </c>
      <c r="P38" s="105">
        <f t="shared" si="4"/>
        <v>214665</v>
      </c>
      <c r="Q38" s="118">
        <f>Q34+Q33+Q29</f>
        <v>29146802</v>
      </c>
      <c r="R38" s="35">
        <f t="shared" si="29"/>
        <v>0</v>
      </c>
      <c r="S38" s="12">
        <f t="shared" si="5"/>
        <v>29146.802</v>
      </c>
      <c r="T38" s="12">
        <v>237</v>
      </c>
      <c r="U38" s="12">
        <f t="shared" si="6"/>
        <v>29383.802</v>
      </c>
      <c r="V38" s="12">
        <v>453</v>
      </c>
      <c r="W38" s="12">
        <f t="shared" si="7"/>
        <v>29836.802</v>
      </c>
      <c r="X38" s="12">
        <v>-496</v>
      </c>
      <c r="Y38" s="105">
        <f t="shared" si="8"/>
        <v>29340.802</v>
      </c>
      <c r="Z38" s="118">
        <f>Z34+Z33+Z29</f>
        <v>12676642</v>
      </c>
      <c r="AA38" s="35">
        <f t="shared" si="29"/>
        <v>0</v>
      </c>
      <c r="AB38" s="12">
        <f t="shared" si="9"/>
        <v>12676.642</v>
      </c>
      <c r="AC38" s="12">
        <v>-208</v>
      </c>
      <c r="AD38" s="12">
        <f t="shared" si="10"/>
        <v>12468.642</v>
      </c>
      <c r="AE38" s="12">
        <v>376</v>
      </c>
      <c r="AF38" s="12">
        <f t="shared" si="11"/>
        <v>12844.642</v>
      </c>
      <c r="AG38" s="12">
        <v>-19</v>
      </c>
      <c r="AH38" s="13">
        <f t="shared" si="12"/>
        <v>12825.642</v>
      </c>
      <c r="AI38" s="257">
        <f t="shared" si="29"/>
        <v>0</v>
      </c>
      <c r="AJ38" s="35">
        <f t="shared" si="29"/>
        <v>0</v>
      </c>
      <c r="AK38" s="242">
        <f t="shared" si="29"/>
        <v>0</v>
      </c>
      <c r="AL38" s="241">
        <f t="shared" si="29"/>
        <v>0</v>
      </c>
      <c r="AM38" s="35">
        <f t="shared" si="29"/>
        <v>0</v>
      </c>
      <c r="AN38" s="259">
        <f t="shared" si="29"/>
        <v>0</v>
      </c>
      <c r="AO38" s="118">
        <f>C38+H38+Q38+Z38+AI38+AL38</f>
        <v>269502388</v>
      </c>
      <c r="AP38" s="12">
        <f t="shared" si="14"/>
        <v>1182</v>
      </c>
      <c r="AQ38" s="12">
        <f t="shared" si="15"/>
        <v>270684.44400000002</v>
      </c>
      <c r="AR38" s="113">
        <f t="shared" si="16"/>
        <v>0</v>
      </c>
      <c r="AS38" s="113">
        <f t="shared" si="17"/>
        <v>270684.44400000002</v>
      </c>
      <c r="AT38" s="113">
        <f t="shared" si="18"/>
        <v>0</v>
      </c>
      <c r="AU38" s="113">
        <f t="shared" si="19"/>
        <v>270684.44400000002</v>
      </c>
      <c r="AV38" s="113">
        <v>6934</v>
      </c>
      <c r="AW38" s="125">
        <f t="shared" si="21"/>
        <v>277618.44400000002</v>
      </c>
    </row>
    <row r="39" spans="1:51" ht="13.5" thickBot="1" x14ac:dyDescent="0.25">
      <c r="A39" s="41" t="s">
        <v>32</v>
      </c>
      <c r="B39" s="70" t="s">
        <v>33</v>
      </c>
      <c r="C39" s="247">
        <v>0</v>
      </c>
      <c r="D39" s="14"/>
      <c r="E39" s="14">
        <f t="shared" si="0"/>
        <v>0</v>
      </c>
      <c r="F39" s="14"/>
      <c r="G39" s="105">
        <f t="shared" si="1"/>
        <v>0</v>
      </c>
      <c r="H39" s="130">
        <v>3</v>
      </c>
      <c r="I39" s="74"/>
      <c r="J39" s="74">
        <v>3</v>
      </c>
      <c r="K39" s="74"/>
      <c r="L39" s="14">
        <f t="shared" si="2"/>
        <v>3</v>
      </c>
      <c r="M39" s="14"/>
      <c r="N39" s="14">
        <f t="shared" si="3"/>
        <v>3</v>
      </c>
      <c r="O39" s="14"/>
      <c r="P39" s="105">
        <f t="shared" si="4"/>
        <v>3</v>
      </c>
      <c r="Q39" s="130">
        <v>6</v>
      </c>
      <c r="R39" s="74"/>
      <c r="S39" s="120" t="s">
        <v>135</v>
      </c>
      <c r="T39" s="120"/>
      <c r="U39" s="14">
        <f t="shared" si="6"/>
        <v>0</v>
      </c>
      <c r="V39" s="14"/>
      <c r="W39" s="14">
        <f t="shared" si="7"/>
        <v>0</v>
      </c>
      <c r="X39" s="14"/>
      <c r="Y39" s="105">
        <f t="shared" si="8"/>
        <v>0</v>
      </c>
      <c r="Z39" s="130">
        <v>2</v>
      </c>
      <c r="AA39" s="74"/>
      <c r="AB39" s="74">
        <v>2</v>
      </c>
      <c r="AC39" s="74"/>
      <c r="AD39" s="14">
        <f t="shared" si="10"/>
        <v>2</v>
      </c>
      <c r="AE39" s="14"/>
      <c r="AF39" s="14">
        <f t="shared" si="11"/>
        <v>2</v>
      </c>
      <c r="AG39" s="14"/>
      <c r="AH39" s="13">
        <f t="shared" si="12"/>
        <v>2</v>
      </c>
      <c r="AI39" s="129"/>
      <c r="AJ39" s="74"/>
      <c r="AK39" s="246"/>
      <c r="AL39" s="130"/>
      <c r="AM39" s="74"/>
      <c r="AN39" s="262"/>
      <c r="AO39" s="132">
        <f>C39+H39+Q39+Z39</f>
        <v>11</v>
      </c>
      <c r="AP39" s="19"/>
      <c r="AQ39" s="14">
        <f t="shared" si="15"/>
        <v>11</v>
      </c>
      <c r="AR39" s="169">
        <f t="shared" si="16"/>
        <v>0</v>
      </c>
      <c r="AS39" s="169">
        <f t="shared" si="17"/>
        <v>11</v>
      </c>
      <c r="AT39" s="169">
        <f t="shared" si="18"/>
        <v>0</v>
      </c>
      <c r="AU39" s="169">
        <f t="shared" si="19"/>
        <v>11</v>
      </c>
      <c r="AV39" s="113">
        <f t="shared" si="20"/>
        <v>0</v>
      </c>
      <c r="AW39" s="125">
        <f t="shared" si="21"/>
        <v>11</v>
      </c>
    </row>
    <row r="40" spans="1:51" x14ac:dyDescent="0.2">
      <c r="C40" s="4"/>
      <c r="D40" s="4"/>
      <c r="E40" s="8"/>
      <c r="F40" s="8"/>
      <c r="G40" s="8"/>
      <c r="H40" s="4"/>
      <c r="I40" s="4"/>
      <c r="J40" s="8"/>
      <c r="K40" s="8"/>
      <c r="L40" s="8"/>
      <c r="M40" s="8"/>
      <c r="N40" s="8"/>
      <c r="O40" s="8"/>
      <c r="P40" s="8"/>
      <c r="Q40" s="4"/>
      <c r="R40" s="4"/>
      <c r="S40" s="8"/>
      <c r="T40" s="8"/>
      <c r="U40" s="8"/>
      <c r="V40" s="8"/>
      <c r="W40" s="8"/>
      <c r="X40" s="8"/>
      <c r="Y40" s="8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x14ac:dyDescent="0.2">
      <c r="C41" s="4"/>
      <c r="D41" s="4"/>
      <c r="E41" s="8"/>
      <c r="F41" s="8"/>
      <c r="G41" s="8"/>
      <c r="H41" s="4"/>
      <c r="I41" s="4"/>
      <c r="J41" s="8"/>
      <c r="K41" s="8"/>
      <c r="L41" s="8"/>
      <c r="M41" s="8"/>
      <c r="N41" s="8"/>
      <c r="O41" s="8"/>
      <c r="P41" s="8"/>
      <c r="Q41" s="4"/>
      <c r="R41" s="4"/>
      <c r="S41" s="8"/>
      <c r="T41" s="8"/>
      <c r="U41" s="8"/>
      <c r="V41" s="8"/>
      <c r="W41" s="8"/>
      <c r="X41" s="8"/>
      <c r="Y41" s="8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x14ac:dyDescent="0.2">
      <c r="C42" s="4"/>
      <c r="D42" s="4"/>
      <c r="E42" s="8"/>
      <c r="F42" s="8"/>
      <c r="G42" s="8"/>
      <c r="H42" s="4"/>
      <c r="I42" s="4"/>
      <c r="J42" s="8"/>
      <c r="K42" s="8"/>
      <c r="L42" s="8"/>
      <c r="M42" s="8"/>
      <c r="N42" s="8"/>
      <c r="O42" s="8"/>
      <c r="P42" s="8"/>
      <c r="Q42" s="4"/>
      <c r="R42" s="4"/>
      <c r="S42" s="8"/>
      <c r="T42" s="8"/>
      <c r="U42" s="8"/>
      <c r="V42" s="8"/>
      <c r="W42" s="8"/>
      <c r="X42" s="8"/>
      <c r="Y42" s="8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x14ac:dyDescent="0.2">
      <c r="C43" s="4"/>
      <c r="D43" s="4"/>
      <c r="E43" s="8"/>
      <c r="F43" s="8"/>
      <c r="G43" s="8"/>
      <c r="H43" s="4"/>
      <c r="I43" s="4"/>
      <c r="J43" s="8"/>
      <c r="K43" s="8"/>
      <c r="L43" s="8"/>
      <c r="M43" s="8"/>
      <c r="N43" s="8"/>
      <c r="O43" s="8"/>
      <c r="P43" s="8"/>
      <c r="Q43" s="4"/>
      <c r="R43" s="4"/>
      <c r="S43" s="8"/>
      <c r="T43" s="8"/>
      <c r="U43" s="8"/>
      <c r="V43" s="8"/>
      <c r="W43" s="8"/>
      <c r="X43" s="8"/>
      <c r="Y43" s="8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x14ac:dyDescent="0.2">
      <c r="C44" s="4"/>
      <c r="D44" s="4"/>
      <c r="E44" s="8"/>
      <c r="F44" s="8"/>
      <c r="G44" s="8"/>
      <c r="H44" s="4"/>
      <c r="I44" s="4"/>
      <c r="J44" s="8"/>
      <c r="K44" s="8"/>
      <c r="L44" s="8"/>
      <c r="M44" s="8"/>
      <c r="N44" s="8"/>
      <c r="O44" s="8"/>
      <c r="P44" s="8"/>
      <c r="Q44" s="4"/>
      <c r="R44" s="4"/>
      <c r="S44" s="8"/>
      <c r="T44" s="8"/>
      <c r="U44" s="8"/>
      <c r="V44" s="8"/>
      <c r="W44" s="8"/>
      <c r="X44" s="8"/>
      <c r="Y44" s="8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x14ac:dyDescent="0.2">
      <c r="C45" s="4"/>
      <c r="D45" s="4"/>
      <c r="E45" s="8"/>
      <c r="F45" s="8"/>
      <c r="G45" s="8"/>
      <c r="H45" s="4"/>
      <c r="I45" s="4"/>
      <c r="J45" s="8"/>
      <c r="K45" s="8"/>
      <c r="L45" s="8"/>
      <c r="M45" s="8"/>
      <c r="N45" s="8"/>
      <c r="O45" s="8"/>
      <c r="P45" s="8"/>
      <c r="Q45" s="4"/>
      <c r="R45" s="4"/>
      <c r="S45" s="8"/>
      <c r="T45" s="8"/>
      <c r="U45" s="8"/>
      <c r="V45" s="8"/>
      <c r="W45" s="8"/>
      <c r="X45" s="8"/>
      <c r="Y45" s="8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x14ac:dyDescent="0.2">
      <c r="J46" s="8"/>
      <c r="K46" s="8"/>
      <c r="L46" s="8"/>
      <c r="M46" s="8"/>
      <c r="N46" s="8"/>
      <c r="O46" s="8"/>
      <c r="P46" s="8"/>
    </row>
  </sheetData>
  <mergeCells count="60">
    <mergeCell ref="Q4:Y4"/>
    <mergeCell ref="Z4:AH4"/>
    <mergeCell ref="AG5:AG6"/>
    <mergeCell ref="AH5:AH6"/>
    <mergeCell ref="C4:G4"/>
    <mergeCell ref="F5:F6"/>
    <mergeCell ref="G5:G6"/>
    <mergeCell ref="M5:M6"/>
    <mergeCell ref="N5:N6"/>
    <mergeCell ref="H4:P4"/>
    <mergeCell ref="O5:O6"/>
    <mergeCell ref="P5:P6"/>
    <mergeCell ref="V5:V6"/>
    <mergeCell ref="W5:W6"/>
    <mergeCell ref="AE5:AE6"/>
    <mergeCell ref="AF5:AF6"/>
    <mergeCell ref="A23:B23"/>
    <mergeCell ref="A8:B8"/>
    <mergeCell ref="Z5:Z6"/>
    <mergeCell ref="AA5:AA6"/>
    <mergeCell ref="AB5:AB6"/>
    <mergeCell ref="Q5:Q6"/>
    <mergeCell ref="R5:R6"/>
    <mergeCell ref="S5:S6"/>
    <mergeCell ref="A7:B7"/>
    <mergeCell ref="H5:H6"/>
    <mergeCell ref="C5:C6"/>
    <mergeCell ref="D5:D6"/>
    <mergeCell ref="E5:E6"/>
    <mergeCell ref="T5:T6"/>
    <mergeCell ref="U5:U6"/>
    <mergeCell ref="L5:L6"/>
    <mergeCell ref="B1:J1"/>
    <mergeCell ref="A3:B6"/>
    <mergeCell ref="I5:I6"/>
    <mergeCell ref="J5:J6"/>
    <mergeCell ref="K5:K6"/>
    <mergeCell ref="C3:AS3"/>
    <mergeCell ref="AO5:AO6"/>
    <mergeCell ref="AP5:AP6"/>
    <mergeCell ref="AQ5:AQ6"/>
    <mergeCell ref="AI4:AK4"/>
    <mergeCell ref="AR5:AR6"/>
    <mergeCell ref="AS5:AS6"/>
    <mergeCell ref="AC5:AC6"/>
    <mergeCell ref="AD5:AD6"/>
    <mergeCell ref="AL4:AN4"/>
    <mergeCell ref="AL5:AL6"/>
    <mergeCell ref="AO4:AW4"/>
    <mergeCell ref="AV5:AV6"/>
    <mergeCell ref="AW5:AW6"/>
    <mergeCell ref="AU5:AU6"/>
    <mergeCell ref="AN5:AN6"/>
    <mergeCell ref="AT5:AT6"/>
    <mergeCell ref="AM5:AM6"/>
    <mergeCell ref="AI5:AI6"/>
    <mergeCell ref="AJ5:AJ6"/>
    <mergeCell ref="AK5:AK6"/>
    <mergeCell ref="X5:X6"/>
    <mergeCell ref="Y5:Y6"/>
  </mergeCells>
  <phoneticPr fontId="2" type="noConversion"/>
  <printOptions horizontalCentered="1"/>
  <pageMargins left="0.15748031496062992" right="0.15748031496062992" top="0.39370078740157483" bottom="0.19685039370078741" header="0.27559055118110237" footer="0.15748031496062992"/>
  <pageSetup paperSize="9" scale="60" firstPageNumber="0" orientation="landscape" r:id="rId1"/>
  <headerFooter alignWithMargins="0">
    <oddHeader>&amp;CDr. Kostyán Andor Rendelőintézet&amp;R3. sz. melléklet</oddHeader>
  </headerFooter>
  <colBreaks count="1" manualBreakCount="1">
    <brk id="54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A84"/>
  <sheetViews>
    <sheetView topLeftCell="A4" zoomScaleNormal="100" zoomScaleSheetLayoutView="80" workbookViewId="0">
      <pane xSplit="2" ySplit="4" topLeftCell="BH29" activePane="bottomRight" state="frozen"/>
      <selection activeCell="A4" sqref="A4"/>
      <selection pane="topRight" activeCell="C4" sqref="C4"/>
      <selection pane="bottomLeft" activeCell="A8" sqref="A8"/>
      <selection pane="bottomRight" activeCell="BQ22" sqref="BQ22"/>
    </sheetView>
  </sheetViews>
  <sheetFormatPr defaultColWidth="9.140625" defaultRowHeight="12.75" x14ac:dyDescent="0.2"/>
  <cols>
    <col min="1" max="1" width="3.140625" style="1" bestFit="1" customWidth="1"/>
    <col min="2" max="2" width="41.7109375" style="1" customWidth="1"/>
    <col min="3" max="3" width="10.85546875" style="1" customWidth="1"/>
    <col min="4" max="4" width="8.5703125" style="1" customWidth="1"/>
    <col min="5" max="21" width="11" style="1" customWidth="1"/>
    <col min="22" max="22" width="12.140625" style="1" bestFit="1" customWidth="1"/>
    <col min="23" max="23" width="8.42578125" style="1" bestFit="1" customWidth="1"/>
    <col min="24" max="30" width="9.42578125" style="1" customWidth="1"/>
    <col min="31" max="31" width="12" style="1" bestFit="1" customWidth="1"/>
    <col min="32" max="32" width="8.42578125" style="1" bestFit="1" customWidth="1"/>
    <col min="33" max="51" width="9.42578125" style="1" customWidth="1"/>
    <col min="52" max="52" width="8.28515625" style="1" customWidth="1"/>
    <col min="53" max="59" width="9.42578125" style="1" customWidth="1"/>
    <col min="60" max="60" width="9.28515625" style="1" customWidth="1"/>
    <col min="61" max="61" width="11.7109375" style="1" customWidth="1"/>
    <col min="62" max="62" width="9.85546875" style="1" customWidth="1"/>
    <col min="63" max="65" width="9.28515625" style="1" customWidth="1"/>
    <col min="66" max="16384" width="9.140625" style="1"/>
  </cols>
  <sheetData>
    <row r="1" spans="1:70" x14ac:dyDescent="0.2"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167"/>
      <c r="BC1" s="167"/>
      <c r="BD1" s="204"/>
      <c r="BE1" s="204"/>
      <c r="BF1" s="323"/>
      <c r="BG1" s="323"/>
      <c r="BH1" s="6"/>
      <c r="BI1" s="6"/>
      <c r="BJ1" s="6"/>
    </row>
    <row r="2" spans="1:70" ht="13.5" thickBot="1" x14ac:dyDescent="0.25">
      <c r="X2" s="2"/>
      <c r="Y2" s="2"/>
      <c r="Z2" s="2"/>
      <c r="AA2" s="2"/>
      <c r="AB2" s="2"/>
      <c r="AC2" s="2"/>
      <c r="AD2" s="2"/>
      <c r="AZ2" s="2"/>
      <c r="BM2" s="2"/>
    </row>
    <row r="3" spans="1:70" ht="13.5" thickBot="1" x14ac:dyDescent="0.25">
      <c r="A3" s="539" t="s">
        <v>1</v>
      </c>
      <c r="B3" s="540"/>
      <c r="C3" s="545" t="s">
        <v>66</v>
      </c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1"/>
      <c r="AJ3" s="501"/>
      <c r="AK3" s="501"/>
      <c r="AL3" s="501"/>
      <c r="AM3" s="501"/>
      <c r="AN3" s="501"/>
      <c r="AO3" s="501"/>
      <c r="AP3" s="501"/>
      <c r="AQ3" s="501"/>
      <c r="AR3" s="501"/>
      <c r="AS3" s="501"/>
      <c r="AT3" s="501"/>
      <c r="AU3" s="501"/>
      <c r="AV3" s="501"/>
      <c r="AW3" s="501"/>
      <c r="AX3" s="501"/>
      <c r="AY3" s="501"/>
      <c r="AZ3" s="501"/>
      <c r="BA3" s="501"/>
      <c r="BB3" s="501"/>
      <c r="BC3" s="501"/>
      <c r="BD3" s="501"/>
      <c r="BE3" s="501"/>
      <c r="BF3" s="501"/>
      <c r="BG3" s="501"/>
      <c r="BH3" s="501"/>
      <c r="BI3" s="501"/>
      <c r="BJ3" s="502"/>
    </row>
    <row r="4" spans="1:70" s="9" customFormat="1" ht="42" customHeight="1" x14ac:dyDescent="0.2">
      <c r="A4" s="541"/>
      <c r="B4" s="542"/>
      <c r="C4" s="536" t="s">
        <v>90</v>
      </c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51" t="s">
        <v>134</v>
      </c>
      <c r="O4" s="552"/>
      <c r="P4" s="552"/>
      <c r="Q4" s="552"/>
      <c r="R4" s="552"/>
      <c r="S4" s="552"/>
      <c r="T4" s="552"/>
      <c r="U4" s="552"/>
      <c r="V4" s="536" t="s">
        <v>91</v>
      </c>
      <c r="W4" s="537"/>
      <c r="X4" s="537"/>
      <c r="Y4" s="537"/>
      <c r="Z4" s="537"/>
      <c r="AA4" s="537"/>
      <c r="AB4" s="537"/>
      <c r="AC4" s="537"/>
      <c r="AD4" s="537"/>
      <c r="AE4" s="536" t="s">
        <v>92</v>
      </c>
      <c r="AF4" s="537"/>
      <c r="AG4" s="537"/>
      <c r="AH4" s="537"/>
      <c r="AI4" s="537"/>
      <c r="AJ4" s="537"/>
      <c r="AK4" s="537"/>
      <c r="AL4" s="536" t="s">
        <v>93</v>
      </c>
      <c r="AM4" s="537"/>
      <c r="AN4" s="537"/>
      <c r="AO4" s="537"/>
      <c r="AP4" s="537"/>
      <c r="AQ4" s="537"/>
      <c r="AR4" s="537"/>
      <c r="AS4" s="551" t="s">
        <v>133</v>
      </c>
      <c r="AT4" s="552"/>
      <c r="AU4" s="552"/>
      <c r="AV4" s="552"/>
      <c r="AW4" s="552"/>
      <c r="AX4" s="552"/>
      <c r="AY4" s="536" t="s">
        <v>94</v>
      </c>
      <c r="AZ4" s="537"/>
      <c r="BA4" s="537"/>
      <c r="BB4" s="537"/>
      <c r="BC4" s="537"/>
      <c r="BD4" s="537"/>
      <c r="BE4" s="537"/>
      <c r="BF4" s="537"/>
      <c r="BG4" s="537"/>
      <c r="BH4" s="548" t="s">
        <v>59</v>
      </c>
      <c r="BI4" s="549"/>
      <c r="BJ4" s="549"/>
      <c r="BK4" s="549"/>
      <c r="BL4" s="549"/>
      <c r="BM4" s="549"/>
      <c r="BN4" s="549"/>
      <c r="BO4" s="549"/>
      <c r="BP4" s="549"/>
      <c r="BQ4" s="549"/>
      <c r="BR4" s="550"/>
    </row>
    <row r="5" spans="1:70" x14ac:dyDescent="0.2">
      <c r="A5" s="541"/>
      <c r="B5" s="542"/>
      <c r="C5" s="450" t="s">
        <v>36</v>
      </c>
      <c r="D5" s="451" t="s">
        <v>131</v>
      </c>
      <c r="E5" s="451" t="s">
        <v>130</v>
      </c>
      <c r="F5" s="451" t="s">
        <v>144</v>
      </c>
      <c r="G5" s="451" t="s">
        <v>145</v>
      </c>
      <c r="H5" s="451" t="s">
        <v>167</v>
      </c>
      <c r="I5" s="451" t="s">
        <v>168</v>
      </c>
      <c r="J5" s="451" t="s">
        <v>174</v>
      </c>
      <c r="K5" s="451" t="s">
        <v>175</v>
      </c>
      <c r="L5" s="464" t="s">
        <v>176</v>
      </c>
      <c r="M5" s="466" t="s">
        <v>177</v>
      </c>
      <c r="N5" s="450" t="s">
        <v>131</v>
      </c>
      <c r="O5" s="451" t="s">
        <v>130</v>
      </c>
      <c r="P5" s="451" t="s">
        <v>144</v>
      </c>
      <c r="Q5" s="451" t="s">
        <v>168</v>
      </c>
      <c r="R5" s="451" t="s">
        <v>174</v>
      </c>
      <c r="S5" s="451" t="s">
        <v>175</v>
      </c>
      <c r="T5" s="464" t="s">
        <v>176</v>
      </c>
      <c r="U5" s="466" t="s">
        <v>177</v>
      </c>
      <c r="V5" s="450" t="s">
        <v>36</v>
      </c>
      <c r="W5" s="451" t="s">
        <v>131</v>
      </c>
      <c r="X5" s="451" t="s">
        <v>148</v>
      </c>
      <c r="Y5" s="451" t="s">
        <v>144</v>
      </c>
      <c r="Z5" s="451" t="s">
        <v>168</v>
      </c>
      <c r="AA5" s="451" t="s">
        <v>174</v>
      </c>
      <c r="AB5" s="451" t="s">
        <v>175</v>
      </c>
      <c r="AC5" s="464" t="s">
        <v>176</v>
      </c>
      <c r="AD5" s="466" t="s">
        <v>177</v>
      </c>
      <c r="AE5" s="450" t="s">
        <v>36</v>
      </c>
      <c r="AF5" s="451" t="s">
        <v>131</v>
      </c>
      <c r="AG5" s="451" t="s">
        <v>130</v>
      </c>
      <c r="AH5" s="451" t="s">
        <v>144</v>
      </c>
      <c r="AI5" s="451" t="s">
        <v>175</v>
      </c>
      <c r="AJ5" s="464" t="s">
        <v>176</v>
      </c>
      <c r="AK5" s="466" t="s">
        <v>177</v>
      </c>
      <c r="AL5" s="450" t="s">
        <v>36</v>
      </c>
      <c r="AM5" s="451" t="s">
        <v>131</v>
      </c>
      <c r="AN5" s="451" t="s">
        <v>130</v>
      </c>
      <c r="AO5" s="451" t="s">
        <v>144</v>
      </c>
      <c r="AP5" s="451" t="s">
        <v>175</v>
      </c>
      <c r="AQ5" s="464" t="s">
        <v>176</v>
      </c>
      <c r="AR5" s="466" t="s">
        <v>177</v>
      </c>
      <c r="AS5" s="450" t="s">
        <v>131</v>
      </c>
      <c r="AT5" s="451" t="s">
        <v>130</v>
      </c>
      <c r="AU5" s="451" t="s">
        <v>144</v>
      </c>
      <c r="AV5" s="451" t="s">
        <v>175</v>
      </c>
      <c r="AW5" s="464" t="s">
        <v>176</v>
      </c>
      <c r="AX5" s="466" t="s">
        <v>177</v>
      </c>
      <c r="AY5" s="450" t="s">
        <v>36</v>
      </c>
      <c r="AZ5" s="451" t="s">
        <v>131</v>
      </c>
      <c r="BA5" s="451" t="s">
        <v>145</v>
      </c>
      <c r="BB5" s="451" t="s">
        <v>167</v>
      </c>
      <c r="BC5" s="451" t="s">
        <v>168</v>
      </c>
      <c r="BD5" s="451" t="s">
        <v>174</v>
      </c>
      <c r="BE5" s="451" t="s">
        <v>175</v>
      </c>
      <c r="BF5" s="464" t="s">
        <v>176</v>
      </c>
      <c r="BG5" s="466" t="s">
        <v>177</v>
      </c>
      <c r="BH5" s="451" t="s">
        <v>36</v>
      </c>
      <c r="BI5" s="451" t="s">
        <v>131</v>
      </c>
      <c r="BJ5" s="451" t="s">
        <v>130</v>
      </c>
      <c r="BK5" s="459" t="s">
        <v>144</v>
      </c>
      <c r="BL5" s="459" t="s">
        <v>145</v>
      </c>
      <c r="BM5" s="459" t="s">
        <v>167</v>
      </c>
      <c r="BN5" s="459" t="s">
        <v>168</v>
      </c>
      <c r="BO5" s="459" t="s">
        <v>174</v>
      </c>
      <c r="BP5" s="459" t="s">
        <v>175</v>
      </c>
      <c r="BQ5" s="455" t="s">
        <v>176</v>
      </c>
      <c r="BR5" s="455" t="s">
        <v>177</v>
      </c>
    </row>
    <row r="6" spans="1:70" ht="12.75" customHeight="1" thickBot="1" x14ac:dyDescent="0.25">
      <c r="A6" s="543"/>
      <c r="B6" s="544"/>
      <c r="C6" s="450"/>
      <c r="D6" s="451"/>
      <c r="E6" s="451"/>
      <c r="F6" s="451"/>
      <c r="G6" s="451"/>
      <c r="H6" s="451"/>
      <c r="I6" s="451"/>
      <c r="J6" s="451"/>
      <c r="K6" s="451"/>
      <c r="L6" s="465"/>
      <c r="M6" s="467"/>
      <c r="N6" s="450"/>
      <c r="O6" s="451"/>
      <c r="P6" s="451"/>
      <c r="Q6" s="451"/>
      <c r="R6" s="451"/>
      <c r="S6" s="451"/>
      <c r="T6" s="465"/>
      <c r="U6" s="467"/>
      <c r="V6" s="450"/>
      <c r="W6" s="451"/>
      <c r="X6" s="451"/>
      <c r="Y6" s="451"/>
      <c r="Z6" s="451"/>
      <c r="AA6" s="451"/>
      <c r="AB6" s="451"/>
      <c r="AC6" s="465"/>
      <c r="AD6" s="467"/>
      <c r="AE6" s="450"/>
      <c r="AF6" s="451"/>
      <c r="AG6" s="451"/>
      <c r="AH6" s="451"/>
      <c r="AI6" s="451"/>
      <c r="AJ6" s="465"/>
      <c r="AK6" s="467"/>
      <c r="AL6" s="450"/>
      <c r="AM6" s="451"/>
      <c r="AN6" s="451"/>
      <c r="AO6" s="451"/>
      <c r="AP6" s="451"/>
      <c r="AQ6" s="465"/>
      <c r="AR6" s="467"/>
      <c r="AS6" s="450"/>
      <c r="AT6" s="451"/>
      <c r="AU6" s="451"/>
      <c r="AV6" s="451"/>
      <c r="AW6" s="465"/>
      <c r="AX6" s="467"/>
      <c r="AY6" s="450"/>
      <c r="AZ6" s="451"/>
      <c r="BA6" s="451"/>
      <c r="BB6" s="451"/>
      <c r="BC6" s="451"/>
      <c r="BD6" s="451"/>
      <c r="BE6" s="451"/>
      <c r="BF6" s="465"/>
      <c r="BG6" s="467"/>
      <c r="BH6" s="451"/>
      <c r="BI6" s="451"/>
      <c r="BJ6" s="451"/>
      <c r="BK6" s="459"/>
      <c r="BL6" s="459"/>
      <c r="BM6" s="459"/>
      <c r="BN6" s="459"/>
      <c r="BO6" s="459"/>
      <c r="BP6" s="459"/>
      <c r="BQ6" s="456"/>
      <c r="BR6" s="456"/>
    </row>
    <row r="7" spans="1:70" ht="13.5" thickBot="1" x14ac:dyDescent="0.25">
      <c r="A7" s="546">
        <v>1</v>
      </c>
      <c r="B7" s="547"/>
      <c r="C7" s="319">
        <v>2</v>
      </c>
      <c r="D7" s="126">
        <v>3</v>
      </c>
      <c r="E7" s="126">
        <v>4</v>
      </c>
      <c r="F7" s="126"/>
      <c r="G7" s="126"/>
      <c r="H7" s="126"/>
      <c r="I7" s="126"/>
      <c r="J7" s="126"/>
      <c r="K7" s="126"/>
      <c r="L7" s="126"/>
      <c r="M7" s="320"/>
      <c r="N7" s="319"/>
      <c r="O7" s="126"/>
      <c r="P7" s="126"/>
      <c r="Q7" s="126"/>
      <c r="R7" s="126"/>
      <c r="S7" s="126"/>
      <c r="T7" s="126"/>
      <c r="U7" s="320"/>
      <c r="V7" s="319">
        <v>5</v>
      </c>
      <c r="W7" s="126">
        <v>6</v>
      </c>
      <c r="X7" s="126">
        <v>7</v>
      </c>
      <c r="Y7" s="126"/>
      <c r="Z7" s="126"/>
      <c r="AA7" s="126"/>
      <c r="AB7" s="126"/>
      <c r="AC7" s="126"/>
      <c r="AD7" s="322"/>
      <c r="AE7" s="321">
        <v>8</v>
      </c>
      <c r="AF7" s="126">
        <v>9</v>
      </c>
      <c r="AG7" s="126">
        <v>10</v>
      </c>
      <c r="AH7" s="126"/>
      <c r="AI7" s="126"/>
      <c r="AJ7" s="126"/>
      <c r="AK7" s="325"/>
      <c r="AL7" s="324">
        <v>11</v>
      </c>
      <c r="AM7" s="126">
        <v>12</v>
      </c>
      <c r="AN7" s="126">
        <v>13</v>
      </c>
      <c r="AO7" s="126"/>
      <c r="AP7" s="126"/>
      <c r="AQ7" s="126"/>
      <c r="AR7" s="325"/>
      <c r="AS7" s="324"/>
      <c r="AT7" s="126"/>
      <c r="AU7" s="126"/>
      <c r="AV7" s="126"/>
      <c r="AW7" s="126"/>
      <c r="AX7" s="325"/>
      <c r="AY7" s="324">
        <v>14</v>
      </c>
      <c r="AZ7" s="126">
        <v>15</v>
      </c>
      <c r="BA7" s="126">
        <v>16</v>
      </c>
      <c r="BB7" s="126"/>
      <c r="BC7" s="126"/>
      <c r="BD7" s="126"/>
      <c r="BE7" s="126"/>
      <c r="BF7" s="126"/>
      <c r="BG7" s="325"/>
      <c r="BH7" s="126">
        <v>17</v>
      </c>
      <c r="BI7" s="126">
        <v>18</v>
      </c>
      <c r="BJ7" s="126">
        <v>19</v>
      </c>
      <c r="BK7" s="110"/>
      <c r="BL7" s="110"/>
      <c r="BM7" s="110"/>
      <c r="BN7" s="110"/>
      <c r="BO7" s="110"/>
      <c r="BP7" s="110"/>
      <c r="BQ7" s="110"/>
      <c r="BR7" s="110"/>
    </row>
    <row r="8" spans="1:70" ht="12.75" customHeight="1" x14ac:dyDescent="0.2">
      <c r="A8" s="497" t="s">
        <v>57</v>
      </c>
      <c r="B8" s="498"/>
      <c r="C8" s="87"/>
      <c r="D8" s="17"/>
      <c r="E8" s="17"/>
      <c r="F8" s="17"/>
      <c r="G8" s="17"/>
      <c r="H8" s="17"/>
      <c r="I8" s="17"/>
      <c r="J8" s="17"/>
      <c r="K8" s="17"/>
      <c r="L8" s="17"/>
      <c r="M8" s="81"/>
      <c r="N8" s="87"/>
      <c r="O8" s="17"/>
      <c r="P8" s="17"/>
      <c r="Q8" s="17"/>
      <c r="R8" s="17"/>
      <c r="S8" s="17"/>
      <c r="T8" s="17"/>
      <c r="U8" s="81"/>
      <c r="V8" s="87"/>
      <c r="W8" s="17"/>
      <c r="X8" s="17"/>
      <c r="Y8" s="17"/>
      <c r="Z8" s="17"/>
      <c r="AA8" s="17"/>
      <c r="AB8" s="17"/>
      <c r="AC8" s="17"/>
      <c r="AD8" s="81"/>
      <c r="AE8" s="87"/>
      <c r="AF8" s="17"/>
      <c r="AG8" s="17"/>
      <c r="AH8" s="17"/>
      <c r="AI8" s="17"/>
      <c r="AJ8" s="17"/>
      <c r="AK8" s="81"/>
      <c r="AL8" s="87"/>
      <c r="AM8" s="17"/>
      <c r="AN8" s="17"/>
      <c r="AO8" s="17"/>
      <c r="AP8" s="17"/>
      <c r="AQ8" s="17"/>
      <c r="AR8" s="81"/>
      <c r="AS8" s="87"/>
      <c r="AT8" s="17"/>
      <c r="AU8" s="17"/>
      <c r="AV8" s="17"/>
      <c r="AW8" s="17"/>
      <c r="AX8" s="81"/>
      <c r="AY8" s="87"/>
      <c r="AZ8" s="17"/>
      <c r="BA8" s="17"/>
      <c r="BB8" s="17"/>
      <c r="BC8" s="17"/>
      <c r="BD8" s="17"/>
      <c r="BE8" s="17"/>
      <c r="BF8" s="17"/>
      <c r="BG8" s="81"/>
      <c r="BH8" s="12"/>
      <c r="BI8" s="12"/>
      <c r="BJ8" s="12"/>
      <c r="BK8" s="110"/>
      <c r="BL8" s="110"/>
      <c r="BM8" s="110"/>
      <c r="BN8" s="110"/>
      <c r="BO8" s="110"/>
      <c r="BP8" s="110"/>
      <c r="BQ8" s="110"/>
      <c r="BR8" s="110"/>
    </row>
    <row r="9" spans="1:70" ht="12.75" customHeight="1" x14ac:dyDescent="0.2">
      <c r="A9" s="21" t="s">
        <v>2</v>
      </c>
      <c r="B9" s="65" t="s">
        <v>3</v>
      </c>
      <c r="C9" s="115">
        <v>18716883</v>
      </c>
      <c r="D9" s="17">
        <v>-18717</v>
      </c>
      <c r="E9" s="17">
        <v>0</v>
      </c>
      <c r="F9" s="17">
        <v>3214</v>
      </c>
      <c r="G9" s="17">
        <v>3214</v>
      </c>
      <c r="H9" s="17"/>
      <c r="I9" s="17">
        <f>SUM(G9:H9)</f>
        <v>3214</v>
      </c>
      <c r="J9" s="17">
        <v>4456</v>
      </c>
      <c r="K9" s="17">
        <f>SUM(I9:J9)</f>
        <v>7670</v>
      </c>
      <c r="L9" s="17">
        <v>-5405</v>
      </c>
      <c r="M9" s="81">
        <f>SUM(K9:L9)</f>
        <v>2265</v>
      </c>
      <c r="N9" s="87">
        <v>18717</v>
      </c>
      <c r="O9" s="17">
        <f>SUM(N9)</f>
        <v>18717</v>
      </c>
      <c r="P9" s="17">
        <v>-3214</v>
      </c>
      <c r="Q9" s="17">
        <f>SUM(O9:P9)</f>
        <v>15503</v>
      </c>
      <c r="R9" s="17">
        <v>-3214</v>
      </c>
      <c r="S9" s="17">
        <f>SUM(Q9:R9)</f>
        <v>12289</v>
      </c>
      <c r="T9" s="17">
        <v>5405</v>
      </c>
      <c r="U9" s="81">
        <f>SUM(S9:T9)</f>
        <v>17694</v>
      </c>
      <c r="V9" s="115">
        <v>9257990</v>
      </c>
      <c r="W9" s="17"/>
      <c r="X9" s="17">
        <f>SUM(V9:W9)/1000</f>
        <v>9257.99</v>
      </c>
      <c r="Y9" s="17"/>
      <c r="Z9" s="17">
        <v>9258</v>
      </c>
      <c r="AA9" s="17"/>
      <c r="AB9" s="17">
        <f>SUM(Z9:AA9)</f>
        <v>9258</v>
      </c>
      <c r="AC9" s="17">
        <v>-527</v>
      </c>
      <c r="AD9" s="81">
        <f>SUM(AB9:AC9)</f>
        <v>8731</v>
      </c>
      <c r="AE9" s="115">
        <v>0</v>
      </c>
      <c r="AF9" s="17"/>
      <c r="AG9" s="17">
        <f>SUM(AE9:AF9)</f>
        <v>0</v>
      </c>
      <c r="AH9" s="17"/>
      <c r="AI9" s="17">
        <f>SUM(AG9:AH9)</f>
        <v>0</v>
      </c>
      <c r="AJ9" s="17"/>
      <c r="AK9" s="81">
        <f>SUM(AI9:AJ9)</f>
        <v>0</v>
      </c>
      <c r="AL9" s="115">
        <v>2453300</v>
      </c>
      <c r="AM9" s="17">
        <v>-2453</v>
      </c>
      <c r="AN9" s="17">
        <v>0</v>
      </c>
      <c r="AO9" s="17"/>
      <c r="AP9" s="17">
        <f>SUM(AN9:AO9)</f>
        <v>0</v>
      </c>
      <c r="AQ9" s="17"/>
      <c r="AR9" s="81">
        <f>SUM(AP9:AQ9)</f>
        <v>0</v>
      </c>
      <c r="AS9" s="87">
        <v>2453</v>
      </c>
      <c r="AT9" s="17">
        <f>SUM(AS9)</f>
        <v>2453</v>
      </c>
      <c r="AU9" s="17"/>
      <c r="AV9" s="17">
        <v>2453</v>
      </c>
      <c r="AW9" s="17">
        <v>201</v>
      </c>
      <c r="AX9" s="81">
        <f>SUM(AV9:AW9)</f>
        <v>2654</v>
      </c>
      <c r="AY9" s="115">
        <v>978300</v>
      </c>
      <c r="AZ9" s="17">
        <v>1630</v>
      </c>
      <c r="BA9" s="17">
        <v>2609</v>
      </c>
      <c r="BB9" s="17">
        <v>2399</v>
      </c>
      <c r="BC9" s="17">
        <f>SUM(BA9:BB9)</f>
        <v>5008</v>
      </c>
      <c r="BD9" s="17"/>
      <c r="BE9" s="17">
        <f>SUM(BC9:BD9)</f>
        <v>5008</v>
      </c>
      <c r="BF9" s="17">
        <v>-23</v>
      </c>
      <c r="BG9" s="81">
        <f>SUM(BE9:BF9)</f>
        <v>4985</v>
      </c>
      <c r="BH9" s="47">
        <f t="shared" ref="BH9:BH36" si="0">C9+V9+AE9+AL9+AY9</f>
        <v>31406473</v>
      </c>
      <c r="BI9" s="12">
        <f>D9+N9+W9+AF9+AM9+AS9+AZ9</f>
        <v>1630</v>
      </c>
      <c r="BJ9" s="12">
        <f>E9+O9+X9+AG9+AN9+AT9+BA9</f>
        <v>33036.99</v>
      </c>
      <c r="BK9" s="113">
        <f>F9+P9+Y9+AH9+AO9+AU9</f>
        <v>0</v>
      </c>
      <c r="BL9" s="113">
        <f>SUM(BJ9:BK9)</f>
        <v>33036.99</v>
      </c>
      <c r="BM9" s="113">
        <f>H9+BB9</f>
        <v>2399</v>
      </c>
      <c r="BN9" s="113">
        <f>SUM(BL9:BM9)</f>
        <v>35435.99</v>
      </c>
      <c r="BO9" s="113">
        <f>J9+R9+AA9+BD9</f>
        <v>1242</v>
      </c>
      <c r="BP9" s="113">
        <f>SUM(BN9:BO9)</f>
        <v>36677.99</v>
      </c>
      <c r="BQ9" s="113">
        <f>L9+T9+AC9+AJ9+AQ9+BF9+AW9</f>
        <v>-349</v>
      </c>
      <c r="BR9" s="113">
        <f>SUM(BP9:BQ9)</f>
        <v>36328.99</v>
      </c>
    </row>
    <row r="10" spans="1:70" ht="25.5" customHeight="1" x14ac:dyDescent="0.2">
      <c r="A10" s="21" t="s">
        <v>4</v>
      </c>
      <c r="B10" s="66" t="s">
        <v>39</v>
      </c>
      <c r="C10" s="115">
        <v>3911802</v>
      </c>
      <c r="D10" s="17">
        <v>-3912</v>
      </c>
      <c r="E10" s="17">
        <v>0</v>
      </c>
      <c r="F10" s="17"/>
      <c r="G10" s="17">
        <v>0</v>
      </c>
      <c r="H10" s="17"/>
      <c r="I10" s="17">
        <f t="shared" ref="I10:I39" si="1">SUM(G10:H10)</f>
        <v>0</v>
      </c>
      <c r="J10" s="17">
        <v>242</v>
      </c>
      <c r="K10" s="17">
        <f t="shared" ref="K10:K38" si="2">SUM(I10:J10)</f>
        <v>242</v>
      </c>
      <c r="L10" s="17">
        <v>-197</v>
      </c>
      <c r="M10" s="81">
        <f t="shared" ref="M10:M39" si="3">SUM(K10:L10)</f>
        <v>45</v>
      </c>
      <c r="N10" s="87">
        <v>3912</v>
      </c>
      <c r="O10" s="17">
        <f t="shared" ref="O10:O38" si="4">SUM(N10)</f>
        <v>3912</v>
      </c>
      <c r="P10" s="17"/>
      <c r="Q10" s="17">
        <f t="shared" ref="Q10:Q38" si="5">SUM(O10:P10)</f>
        <v>3912</v>
      </c>
      <c r="R10" s="17"/>
      <c r="S10" s="17">
        <f t="shared" ref="S10:S38" si="6">SUM(Q10:R10)</f>
        <v>3912</v>
      </c>
      <c r="T10" s="17">
        <v>141</v>
      </c>
      <c r="U10" s="81">
        <f t="shared" ref="U10:U39" si="7">SUM(S10:T10)</f>
        <v>4053</v>
      </c>
      <c r="V10" s="115">
        <v>1805308</v>
      </c>
      <c r="W10" s="17"/>
      <c r="X10" s="17">
        <f t="shared" ref="X10:X37" si="8">SUM(V10:W10)/1000</f>
        <v>1805.308</v>
      </c>
      <c r="Y10" s="17"/>
      <c r="Z10" s="17">
        <v>1805</v>
      </c>
      <c r="AA10" s="17"/>
      <c r="AB10" s="17">
        <f t="shared" ref="AB10:AB39" si="9">SUM(Z10:AA10)</f>
        <v>1805</v>
      </c>
      <c r="AC10" s="17"/>
      <c r="AD10" s="81">
        <f t="shared" ref="AD10:AD39" si="10">SUM(AB10:AC10)</f>
        <v>1805</v>
      </c>
      <c r="AE10" s="115">
        <v>0</v>
      </c>
      <c r="AF10" s="17"/>
      <c r="AG10" s="17">
        <f t="shared" ref="AG10:AG39" si="11">SUM(AE10:AF10)</f>
        <v>0</v>
      </c>
      <c r="AH10" s="17"/>
      <c r="AI10" s="17">
        <f t="shared" ref="AI10:AI39" si="12">SUM(AG10:AH10)</f>
        <v>0</v>
      </c>
      <c r="AJ10" s="17"/>
      <c r="AK10" s="81">
        <f t="shared" ref="AK10:AK39" si="13">SUM(AI10:AJ10)</f>
        <v>0</v>
      </c>
      <c r="AL10" s="115">
        <v>478394</v>
      </c>
      <c r="AM10" s="17">
        <v>-478</v>
      </c>
      <c r="AN10" s="17">
        <v>0</v>
      </c>
      <c r="AO10" s="17">
        <v>10</v>
      </c>
      <c r="AP10" s="17">
        <f t="shared" ref="AP10:AP39" si="14">SUM(AN10:AO10)</f>
        <v>10</v>
      </c>
      <c r="AQ10" s="17">
        <v>-9</v>
      </c>
      <c r="AR10" s="81">
        <f t="shared" ref="AR10:AR39" si="15">SUM(AP10:AQ10)</f>
        <v>1</v>
      </c>
      <c r="AS10" s="87">
        <v>478</v>
      </c>
      <c r="AT10" s="17">
        <f t="shared" ref="AT10:AT39" si="16">SUM(AS10)</f>
        <v>478</v>
      </c>
      <c r="AU10" s="17">
        <v>-10</v>
      </c>
      <c r="AV10" s="17">
        <v>468</v>
      </c>
      <c r="AW10" s="17">
        <v>65</v>
      </c>
      <c r="AX10" s="81">
        <f t="shared" ref="AX10:AX39" si="17">SUM(AV10:AW10)</f>
        <v>533</v>
      </c>
      <c r="AY10" s="115">
        <v>190769</v>
      </c>
      <c r="AZ10" s="17">
        <v>159</v>
      </c>
      <c r="BA10" s="17">
        <v>350</v>
      </c>
      <c r="BB10" s="17">
        <v>241</v>
      </c>
      <c r="BC10" s="17">
        <f t="shared" ref="BC10:BC39" si="18">SUM(BA10:BB10)</f>
        <v>591</v>
      </c>
      <c r="BD10" s="17"/>
      <c r="BE10" s="17">
        <f t="shared" ref="BE10:BE39" si="19">SUM(BC10:BD10)</f>
        <v>591</v>
      </c>
      <c r="BF10" s="17">
        <v>349</v>
      </c>
      <c r="BG10" s="81">
        <f t="shared" ref="BG10:BG39" si="20">SUM(BE10:BF10)</f>
        <v>940</v>
      </c>
      <c r="BH10" s="47">
        <f t="shared" si="0"/>
        <v>6386273</v>
      </c>
      <c r="BI10" s="12">
        <f t="shared" ref="BI10:BI39" si="21">D10+N10+W10+AF10+AM10+AS10+AZ10</f>
        <v>159</v>
      </c>
      <c r="BJ10" s="12">
        <f t="shared" ref="BJ10:BJ37" si="22">E10+O10+X10+AG10+AN10+AT10+BA10</f>
        <v>6545.308</v>
      </c>
      <c r="BK10" s="113">
        <f t="shared" ref="BK10:BK39" si="23">F10+P10+Y10+AH10+AO10+AU10</f>
        <v>0</v>
      </c>
      <c r="BL10" s="113">
        <f t="shared" ref="BL10:BL38" si="24">SUM(BJ10:BK10)</f>
        <v>6545.308</v>
      </c>
      <c r="BM10" s="113">
        <f t="shared" ref="BM10:BM39" si="25">H10+BB10</f>
        <v>241</v>
      </c>
      <c r="BN10" s="113">
        <f t="shared" ref="BN10:BN39" si="26">SUM(BL10:BM10)</f>
        <v>6786.308</v>
      </c>
      <c r="BO10" s="113">
        <f t="shared" ref="BO10:BO39" si="27">J10+R10+AA10+BD10</f>
        <v>242</v>
      </c>
      <c r="BP10" s="113">
        <f t="shared" ref="BP10:BP39" si="28">SUM(BN10:BO10)</f>
        <v>7028.308</v>
      </c>
      <c r="BQ10" s="113">
        <f t="shared" ref="BQ10:BQ39" si="29">L10+T10+AC10+AJ10+AQ10+BF10+AW10</f>
        <v>349</v>
      </c>
      <c r="BR10" s="113">
        <f t="shared" ref="BR10:BR39" si="30">SUM(BP10:BQ10)</f>
        <v>7377.308</v>
      </c>
    </row>
    <row r="11" spans="1:70" ht="12.75" customHeight="1" x14ac:dyDescent="0.2">
      <c r="A11" s="21" t="s">
        <v>5</v>
      </c>
      <c r="B11" s="65" t="s">
        <v>71</v>
      </c>
      <c r="C11" s="115">
        <v>32995524</v>
      </c>
      <c r="D11" s="17">
        <v>1305</v>
      </c>
      <c r="E11" s="17">
        <v>34301</v>
      </c>
      <c r="F11" s="17">
        <v>44</v>
      </c>
      <c r="G11" s="17">
        <v>34345</v>
      </c>
      <c r="H11" s="17"/>
      <c r="I11" s="17">
        <f t="shared" si="1"/>
        <v>34345</v>
      </c>
      <c r="J11" s="17">
        <v>-110</v>
      </c>
      <c r="K11" s="17">
        <f t="shared" si="2"/>
        <v>34235</v>
      </c>
      <c r="L11" s="17">
        <v>-460</v>
      </c>
      <c r="M11" s="81">
        <f t="shared" si="3"/>
        <v>33775</v>
      </c>
      <c r="N11" s="87"/>
      <c r="O11" s="17">
        <f t="shared" si="4"/>
        <v>0</v>
      </c>
      <c r="P11" s="17"/>
      <c r="Q11" s="17">
        <f t="shared" si="5"/>
        <v>0</v>
      </c>
      <c r="R11" s="17"/>
      <c r="S11" s="17">
        <f t="shared" si="6"/>
        <v>0</v>
      </c>
      <c r="T11" s="17">
        <v>49</v>
      </c>
      <c r="U11" s="81">
        <f t="shared" si="7"/>
        <v>49</v>
      </c>
      <c r="V11" s="115">
        <v>1429220</v>
      </c>
      <c r="W11" s="17"/>
      <c r="X11" s="17">
        <f t="shared" si="8"/>
        <v>1429.22</v>
      </c>
      <c r="Y11" s="17">
        <v>99</v>
      </c>
      <c r="Z11" s="17">
        <v>1528</v>
      </c>
      <c r="AA11" s="17">
        <v>50</v>
      </c>
      <c r="AB11" s="17">
        <f t="shared" si="9"/>
        <v>1578</v>
      </c>
      <c r="AC11" s="17">
        <v>747</v>
      </c>
      <c r="AD11" s="81">
        <f t="shared" si="10"/>
        <v>2325</v>
      </c>
      <c r="AE11" s="115">
        <v>635000</v>
      </c>
      <c r="AF11" s="17"/>
      <c r="AG11" s="17">
        <v>635</v>
      </c>
      <c r="AH11" s="17">
        <v>5</v>
      </c>
      <c r="AI11" s="17">
        <f t="shared" si="12"/>
        <v>640</v>
      </c>
      <c r="AJ11" s="17"/>
      <c r="AK11" s="81">
        <f t="shared" si="13"/>
        <v>640</v>
      </c>
      <c r="AL11" s="115">
        <v>2782400</v>
      </c>
      <c r="AM11" s="17"/>
      <c r="AN11" s="17">
        <v>2782</v>
      </c>
      <c r="AO11" s="17">
        <v>13</v>
      </c>
      <c r="AP11" s="17">
        <f t="shared" si="14"/>
        <v>2795</v>
      </c>
      <c r="AQ11" s="17">
        <v>-555</v>
      </c>
      <c r="AR11" s="81">
        <f t="shared" si="15"/>
        <v>2240</v>
      </c>
      <c r="AS11" s="87"/>
      <c r="AT11" s="17">
        <f t="shared" si="16"/>
        <v>0</v>
      </c>
      <c r="AU11" s="17"/>
      <c r="AV11" s="17"/>
      <c r="AW11" s="17"/>
      <c r="AX11" s="81">
        <f t="shared" si="17"/>
        <v>0</v>
      </c>
      <c r="AY11" s="115">
        <v>0</v>
      </c>
      <c r="AZ11" s="17">
        <v>89</v>
      </c>
      <c r="BA11" s="17">
        <v>89</v>
      </c>
      <c r="BB11" s="17">
        <v>179</v>
      </c>
      <c r="BC11" s="17">
        <f t="shared" si="18"/>
        <v>268</v>
      </c>
      <c r="BD11" s="17">
        <v>60</v>
      </c>
      <c r="BE11" s="17">
        <f t="shared" si="19"/>
        <v>328</v>
      </c>
      <c r="BF11" s="17">
        <v>58</v>
      </c>
      <c r="BG11" s="81">
        <f t="shared" si="20"/>
        <v>386</v>
      </c>
      <c r="BH11" s="47">
        <f t="shared" si="0"/>
        <v>37842144</v>
      </c>
      <c r="BI11" s="12">
        <f t="shared" si="21"/>
        <v>1394</v>
      </c>
      <c r="BJ11" s="12">
        <f t="shared" si="22"/>
        <v>39236.22</v>
      </c>
      <c r="BK11" s="113">
        <f t="shared" si="23"/>
        <v>161</v>
      </c>
      <c r="BL11" s="113">
        <f t="shared" si="24"/>
        <v>39397.22</v>
      </c>
      <c r="BM11" s="113">
        <f t="shared" si="25"/>
        <v>179</v>
      </c>
      <c r="BN11" s="113">
        <f t="shared" si="26"/>
        <v>39576.22</v>
      </c>
      <c r="BO11" s="113">
        <f t="shared" si="27"/>
        <v>0</v>
      </c>
      <c r="BP11" s="113">
        <f t="shared" si="28"/>
        <v>39576.22</v>
      </c>
      <c r="BQ11" s="113">
        <f t="shared" si="29"/>
        <v>-161</v>
      </c>
      <c r="BR11" s="113">
        <f t="shared" si="30"/>
        <v>39415.22</v>
      </c>
    </row>
    <row r="12" spans="1:70" ht="12.75" customHeight="1" x14ac:dyDescent="0.2">
      <c r="A12" s="21" t="s">
        <v>6</v>
      </c>
      <c r="B12" s="65" t="s">
        <v>41</v>
      </c>
      <c r="C12" s="115">
        <v>0</v>
      </c>
      <c r="D12" s="17"/>
      <c r="E12" s="17"/>
      <c r="F12" s="17"/>
      <c r="G12" s="17"/>
      <c r="H12" s="17"/>
      <c r="I12" s="17">
        <f t="shared" si="1"/>
        <v>0</v>
      </c>
      <c r="J12" s="17"/>
      <c r="K12" s="17">
        <f t="shared" si="2"/>
        <v>0</v>
      </c>
      <c r="L12" s="17"/>
      <c r="M12" s="81">
        <f t="shared" si="3"/>
        <v>0</v>
      </c>
      <c r="N12" s="87"/>
      <c r="O12" s="17">
        <f t="shared" si="4"/>
        <v>0</v>
      </c>
      <c r="P12" s="17"/>
      <c r="Q12" s="17">
        <f t="shared" si="5"/>
        <v>0</v>
      </c>
      <c r="R12" s="17"/>
      <c r="S12" s="17">
        <f t="shared" si="6"/>
        <v>0</v>
      </c>
      <c r="T12" s="17"/>
      <c r="U12" s="81">
        <f t="shared" si="7"/>
        <v>0</v>
      </c>
      <c r="V12" s="115">
        <v>0</v>
      </c>
      <c r="W12" s="17"/>
      <c r="X12" s="17">
        <f t="shared" si="8"/>
        <v>0</v>
      </c>
      <c r="Y12" s="17"/>
      <c r="Z12" s="17"/>
      <c r="AA12" s="17"/>
      <c r="AB12" s="17">
        <f t="shared" si="9"/>
        <v>0</v>
      </c>
      <c r="AC12" s="17"/>
      <c r="AD12" s="81">
        <f t="shared" si="10"/>
        <v>0</v>
      </c>
      <c r="AE12" s="115">
        <v>0</v>
      </c>
      <c r="AF12" s="17"/>
      <c r="AG12" s="17">
        <f t="shared" si="11"/>
        <v>0</v>
      </c>
      <c r="AH12" s="17"/>
      <c r="AI12" s="17">
        <f t="shared" si="12"/>
        <v>0</v>
      </c>
      <c r="AJ12" s="17"/>
      <c r="AK12" s="81">
        <f t="shared" si="13"/>
        <v>0</v>
      </c>
      <c r="AL12" s="115">
        <v>0</v>
      </c>
      <c r="AM12" s="17"/>
      <c r="AN12" s="17"/>
      <c r="AO12" s="17"/>
      <c r="AP12" s="17">
        <f t="shared" si="14"/>
        <v>0</v>
      </c>
      <c r="AQ12" s="17"/>
      <c r="AR12" s="81">
        <f t="shared" si="15"/>
        <v>0</v>
      </c>
      <c r="AS12" s="87"/>
      <c r="AT12" s="17">
        <f t="shared" si="16"/>
        <v>0</v>
      </c>
      <c r="AU12" s="17"/>
      <c r="AV12" s="17"/>
      <c r="AW12" s="17"/>
      <c r="AX12" s="81">
        <f t="shared" si="17"/>
        <v>0</v>
      </c>
      <c r="AY12" s="115">
        <v>0</v>
      </c>
      <c r="AZ12" s="17"/>
      <c r="BA12" s="17"/>
      <c r="BB12" s="17"/>
      <c r="BC12" s="17">
        <f t="shared" si="18"/>
        <v>0</v>
      </c>
      <c r="BD12" s="17"/>
      <c r="BE12" s="17">
        <f t="shared" si="19"/>
        <v>0</v>
      </c>
      <c r="BF12" s="17"/>
      <c r="BG12" s="81">
        <f t="shared" si="20"/>
        <v>0</v>
      </c>
      <c r="BH12" s="47">
        <f t="shared" si="0"/>
        <v>0</v>
      </c>
      <c r="BI12" s="12">
        <f t="shared" si="21"/>
        <v>0</v>
      </c>
      <c r="BJ12" s="12">
        <f t="shared" si="22"/>
        <v>0</v>
      </c>
      <c r="BK12" s="113">
        <f t="shared" si="23"/>
        <v>0</v>
      </c>
      <c r="BL12" s="113">
        <f t="shared" si="24"/>
        <v>0</v>
      </c>
      <c r="BM12" s="113">
        <f t="shared" si="25"/>
        <v>0</v>
      </c>
      <c r="BN12" s="113">
        <f t="shared" si="26"/>
        <v>0</v>
      </c>
      <c r="BO12" s="113">
        <f t="shared" si="27"/>
        <v>0</v>
      </c>
      <c r="BP12" s="113">
        <f t="shared" si="28"/>
        <v>0</v>
      </c>
      <c r="BQ12" s="113">
        <f t="shared" si="29"/>
        <v>0</v>
      </c>
      <c r="BR12" s="113">
        <f t="shared" si="30"/>
        <v>0</v>
      </c>
    </row>
    <row r="13" spans="1:70" ht="12.75" customHeight="1" x14ac:dyDescent="0.2">
      <c r="A13" s="21" t="s">
        <v>7</v>
      </c>
      <c r="B13" s="65" t="s">
        <v>42</v>
      </c>
      <c r="C13" s="115">
        <v>0</v>
      </c>
      <c r="D13" s="17"/>
      <c r="E13" s="17"/>
      <c r="F13" s="17"/>
      <c r="G13" s="17"/>
      <c r="H13" s="17"/>
      <c r="I13" s="17">
        <f t="shared" si="1"/>
        <v>0</v>
      </c>
      <c r="J13" s="17"/>
      <c r="K13" s="17">
        <f t="shared" si="2"/>
        <v>0</v>
      </c>
      <c r="L13" s="17"/>
      <c r="M13" s="81">
        <f t="shared" si="3"/>
        <v>0</v>
      </c>
      <c r="N13" s="87"/>
      <c r="O13" s="17">
        <f t="shared" si="4"/>
        <v>0</v>
      </c>
      <c r="P13" s="17"/>
      <c r="Q13" s="17">
        <f t="shared" si="5"/>
        <v>0</v>
      </c>
      <c r="R13" s="17"/>
      <c r="S13" s="17">
        <f t="shared" si="6"/>
        <v>0</v>
      </c>
      <c r="T13" s="17"/>
      <c r="U13" s="81">
        <f t="shared" si="7"/>
        <v>0</v>
      </c>
      <c r="V13" s="115">
        <v>0</v>
      </c>
      <c r="W13" s="17"/>
      <c r="X13" s="17">
        <f t="shared" si="8"/>
        <v>0</v>
      </c>
      <c r="Y13" s="17"/>
      <c r="Z13" s="17"/>
      <c r="AA13" s="17"/>
      <c r="AB13" s="17">
        <f t="shared" si="9"/>
        <v>0</v>
      </c>
      <c r="AC13" s="17"/>
      <c r="AD13" s="81">
        <f t="shared" si="10"/>
        <v>0</v>
      </c>
      <c r="AE13" s="115">
        <v>0</v>
      </c>
      <c r="AF13" s="17"/>
      <c r="AG13" s="17">
        <f t="shared" si="11"/>
        <v>0</v>
      </c>
      <c r="AH13" s="17"/>
      <c r="AI13" s="17">
        <f t="shared" si="12"/>
        <v>0</v>
      </c>
      <c r="AJ13" s="17"/>
      <c r="AK13" s="81">
        <f t="shared" si="13"/>
        <v>0</v>
      </c>
      <c r="AL13" s="115">
        <v>0</v>
      </c>
      <c r="AM13" s="17"/>
      <c r="AN13" s="17"/>
      <c r="AO13" s="17"/>
      <c r="AP13" s="17">
        <f t="shared" si="14"/>
        <v>0</v>
      </c>
      <c r="AQ13" s="17"/>
      <c r="AR13" s="81">
        <f t="shared" si="15"/>
        <v>0</v>
      </c>
      <c r="AS13" s="87"/>
      <c r="AT13" s="17">
        <f t="shared" si="16"/>
        <v>0</v>
      </c>
      <c r="AU13" s="17"/>
      <c r="AV13" s="17"/>
      <c r="AW13" s="17"/>
      <c r="AX13" s="81">
        <f t="shared" si="17"/>
        <v>0</v>
      </c>
      <c r="AY13" s="115">
        <v>0</v>
      </c>
      <c r="AZ13" s="17"/>
      <c r="BA13" s="17"/>
      <c r="BB13" s="17"/>
      <c r="BC13" s="17">
        <f t="shared" si="18"/>
        <v>0</v>
      </c>
      <c r="BD13" s="17"/>
      <c r="BE13" s="17">
        <f t="shared" si="19"/>
        <v>0</v>
      </c>
      <c r="BF13" s="17"/>
      <c r="BG13" s="81">
        <f t="shared" si="20"/>
        <v>0</v>
      </c>
      <c r="BH13" s="47">
        <f t="shared" si="0"/>
        <v>0</v>
      </c>
      <c r="BI13" s="12">
        <f t="shared" si="21"/>
        <v>0</v>
      </c>
      <c r="BJ13" s="12">
        <f t="shared" si="22"/>
        <v>0</v>
      </c>
      <c r="BK13" s="113">
        <f t="shared" si="23"/>
        <v>0</v>
      </c>
      <c r="BL13" s="113">
        <f t="shared" si="24"/>
        <v>0</v>
      </c>
      <c r="BM13" s="113">
        <f t="shared" si="25"/>
        <v>0</v>
      </c>
      <c r="BN13" s="113">
        <f t="shared" si="26"/>
        <v>0</v>
      </c>
      <c r="BO13" s="113">
        <f t="shared" si="27"/>
        <v>0</v>
      </c>
      <c r="BP13" s="113">
        <f t="shared" si="28"/>
        <v>0</v>
      </c>
      <c r="BQ13" s="113">
        <f t="shared" si="29"/>
        <v>0</v>
      </c>
      <c r="BR13" s="113">
        <f t="shared" si="30"/>
        <v>0</v>
      </c>
    </row>
    <row r="14" spans="1:70" s="24" customFormat="1" ht="12.75" customHeight="1" x14ac:dyDescent="0.2">
      <c r="A14" s="28" t="s">
        <v>8</v>
      </c>
      <c r="B14" s="67" t="s">
        <v>72</v>
      </c>
      <c r="C14" s="46"/>
      <c r="D14" s="36"/>
      <c r="E14" s="36"/>
      <c r="F14" s="36"/>
      <c r="G14" s="36"/>
      <c r="H14" s="36"/>
      <c r="I14" s="17">
        <f t="shared" si="1"/>
        <v>0</v>
      </c>
      <c r="J14" s="17"/>
      <c r="K14" s="17">
        <f t="shared" si="2"/>
        <v>0</v>
      </c>
      <c r="L14" s="17"/>
      <c r="M14" s="81">
        <f t="shared" si="3"/>
        <v>0</v>
      </c>
      <c r="N14" s="88"/>
      <c r="O14" s="17">
        <f t="shared" si="4"/>
        <v>0</v>
      </c>
      <c r="P14" s="17"/>
      <c r="Q14" s="17">
        <f t="shared" si="5"/>
        <v>0</v>
      </c>
      <c r="R14" s="17"/>
      <c r="S14" s="17">
        <f t="shared" si="6"/>
        <v>0</v>
      </c>
      <c r="T14" s="17"/>
      <c r="U14" s="81">
        <f t="shared" si="7"/>
        <v>0</v>
      </c>
      <c r="V14" s="46"/>
      <c r="W14" s="36"/>
      <c r="X14" s="17">
        <f t="shared" si="8"/>
        <v>0</v>
      </c>
      <c r="Y14" s="17"/>
      <c r="Z14" s="17"/>
      <c r="AA14" s="17"/>
      <c r="AB14" s="17">
        <f t="shared" si="9"/>
        <v>0</v>
      </c>
      <c r="AC14" s="17"/>
      <c r="AD14" s="81">
        <f t="shared" si="10"/>
        <v>0</v>
      </c>
      <c r="AE14" s="46"/>
      <c r="AF14" s="36"/>
      <c r="AG14" s="17">
        <f t="shared" si="11"/>
        <v>0</v>
      </c>
      <c r="AH14" s="17"/>
      <c r="AI14" s="17">
        <f t="shared" si="12"/>
        <v>0</v>
      </c>
      <c r="AJ14" s="17"/>
      <c r="AK14" s="81">
        <f t="shared" si="13"/>
        <v>0</v>
      </c>
      <c r="AL14" s="46"/>
      <c r="AM14" s="36"/>
      <c r="AN14" s="36"/>
      <c r="AO14" s="36"/>
      <c r="AP14" s="17">
        <f t="shared" si="14"/>
        <v>0</v>
      </c>
      <c r="AQ14" s="17"/>
      <c r="AR14" s="81">
        <f t="shared" si="15"/>
        <v>0</v>
      </c>
      <c r="AS14" s="88"/>
      <c r="AT14" s="17">
        <f t="shared" si="16"/>
        <v>0</v>
      </c>
      <c r="AU14" s="17"/>
      <c r="AV14" s="17"/>
      <c r="AW14" s="17"/>
      <c r="AX14" s="81">
        <f t="shared" si="17"/>
        <v>0</v>
      </c>
      <c r="AY14" s="46"/>
      <c r="AZ14" s="36"/>
      <c r="BA14" s="36"/>
      <c r="BB14" s="36"/>
      <c r="BC14" s="17">
        <f t="shared" si="18"/>
        <v>0</v>
      </c>
      <c r="BD14" s="17"/>
      <c r="BE14" s="17">
        <f t="shared" si="19"/>
        <v>0</v>
      </c>
      <c r="BF14" s="17"/>
      <c r="BG14" s="81">
        <f t="shared" si="20"/>
        <v>0</v>
      </c>
      <c r="BH14" s="47">
        <f t="shared" si="0"/>
        <v>0</v>
      </c>
      <c r="BI14" s="12">
        <f t="shared" si="21"/>
        <v>0</v>
      </c>
      <c r="BJ14" s="12">
        <f t="shared" si="22"/>
        <v>0</v>
      </c>
      <c r="BK14" s="113">
        <f t="shared" si="23"/>
        <v>0</v>
      </c>
      <c r="BL14" s="113">
        <f t="shared" si="24"/>
        <v>0</v>
      </c>
      <c r="BM14" s="113">
        <f t="shared" si="25"/>
        <v>0</v>
      </c>
      <c r="BN14" s="113">
        <f t="shared" si="26"/>
        <v>0</v>
      </c>
      <c r="BO14" s="113">
        <f t="shared" si="27"/>
        <v>0</v>
      </c>
      <c r="BP14" s="113">
        <f t="shared" si="28"/>
        <v>0</v>
      </c>
      <c r="BQ14" s="113">
        <f t="shared" si="29"/>
        <v>0</v>
      </c>
      <c r="BR14" s="113">
        <f t="shared" si="30"/>
        <v>0</v>
      </c>
    </row>
    <row r="15" spans="1:70" s="7" customFormat="1" ht="12.75" customHeight="1" x14ac:dyDescent="0.2">
      <c r="A15" s="20" t="s">
        <v>9</v>
      </c>
      <c r="B15" s="68" t="s">
        <v>43</v>
      </c>
      <c r="C15" s="90">
        <f>C9+C10+C11+C12+C13</f>
        <v>55624209</v>
      </c>
      <c r="D15" s="34">
        <f t="shared" ref="D15:BA15" si="31">D9+D10+D11+D12+D13</f>
        <v>-21324</v>
      </c>
      <c r="E15" s="34">
        <f t="shared" si="31"/>
        <v>34301</v>
      </c>
      <c r="F15" s="34">
        <f>SUM(F9:F14)</f>
        <v>3258</v>
      </c>
      <c r="G15" s="34">
        <f>SUM(G9:G14)</f>
        <v>37559</v>
      </c>
      <c r="H15" s="34"/>
      <c r="I15" s="17">
        <f t="shared" si="1"/>
        <v>37559</v>
      </c>
      <c r="J15" s="17">
        <f>SUM(J9:J14)</f>
        <v>4588</v>
      </c>
      <c r="K15" s="17">
        <f t="shared" si="2"/>
        <v>42147</v>
      </c>
      <c r="L15" s="17">
        <f>SUM(L9:L14)</f>
        <v>-6062</v>
      </c>
      <c r="M15" s="81">
        <f t="shared" si="3"/>
        <v>36085</v>
      </c>
      <c r="N15" s="89">
        <f>SUM(N9:N14)</f>
        <v>22629</v>
      </c>
      <c r="O15" s="17">
        <f t="shared" si="4"/>
        <v>22629</v>
      </c>
      <c r="P15" s="17">
        <v>-3214</v>
      </c>
      <c r="Q15" s="17">
        <f t="shared" si="5"/>
        <v>19415</v>
      </c>
      <c r="R15" s="17">
        <v>-3214</v>
      </c>
      <c r="S15" s="17">
        <f t="shared" si="6"/>
        <v>16201</v>
      </c>
      <c r="T15" s="17">
        <f>SUM(T9:T14)</f>
        <v>5595</v>
      </c>
      <c r="U15" s="81">
        <f t="shared" si="7"/>
        <v>21796</v>
      </c>
      <c r="V15" s="90">
        <f t="shared" si="31"/>
        <v>12492518</v>
      </c>
      <c r="W15" s="34">
        <f t="shared" si="31"/>
        <v>0</v>
      </c>
      <c r="X15" s="17">
        <f t="shared" si="8"/>
        <v>12492.518</v>
      </c>
      <c r="Y15" s="17">
        <f>SUM(Y11)</f>
        <v>99</v>
      </c>
      <c r="Z15" s="17">
        <f>SUM(Z9:Z14)</f>
        <v>12591</v>
      </c>
      <c r="AA15" s="17">
        <v>50</v>
      </c>
      <c r="AB15" s="17">
        <f t="shared" si="9"/>
        <v>12641</v>
      </c>
      <c r="AC15" s="17">
        <f>SUM(AC9:AC14)</f>
        <v>220</v>
      </c>
      <c r="AD15" s="81">
        <f t="shared" si="10"/>
        <v>12861</v>
      </c>
      <c r="AE15" s="90">
        <f t="shared" si="31"/>
        <v>635000</v>
      </c>
      <c r="AF15" s="34">
        <f t="shared" si="31"/>
        <v>0</v>
      </c>
      <c r="AG15" s="17">
        <v>635</v>
      </c>
      <c r="AH15" s="17">
        <v>5</v>
      </c>
      <c r="AI15" s="17">
        <f t="shared" si="12"/>
        <v>640</v>
      </c>
      <c r="AJ15" s="17">
        <v>0</v>
      </c>
      <c r="AK15" s="81">
        <f t="shared" si="13"/>
        <v>640</v>
      </c>
      <c r="AL15" s="90">
        <f t="shared" si="31"/>
        <v>5714094</v>
      </c>
      <c r="AM15" s="34">
        <f t="shared" si="31"/>
        <v>-2931</v>
      </c>
      <c r="AN15" s="34">
        <f t="shared" si="31"/>
        <v>2782</v>
      </c>
      <c r="AO15" s="34">
        <f>SUM(AO9:AO14)</f>
        <v>23</v>
      </c>
      <c r="AP15" s="17">
        <f t="shared" si="14"/>
        <v>2805</v>
      </c>
      <c r="AQ15" s="17">
        <f>SUM(AQ10:AQ14)</f>
        <v>-564</v>
      </c>
      <c r="AR15" s="81">
        <f t="shared" si="15"/>
        <v>2241</v>
      </c>
      <c r="AS15" s="89">
        <f>SUM(AS9:AS14)</f>
        <v>2931</v>
      </c>
      <c r="AT15" s="17">
        <f t="shared" si="16"/>
        <v>2931</v>
      </c>
      <c r="AU15" s="17">
        <f>SUM(AU9:AU14)</f>
        <v>-10</v>
      </c>
      <c r="AV15" s="17">
        <f>SUM(AV9:AV14)</f>
        <v>2921</v>
      </c>
      <c r="AW15" s="17">
        <f>SUM(AW9:AW14)</f>
        <v>266</v>
      </c>
      <c r="AX15" s="81">
        <f t="shared" si="17"/>
        <v>3187</v>
      </c>
      <c r="AY15" s="90">
        <f t="shared" si="31"/>
        <v>1169069</v>
      </c>
      <c r="AZ15" s="34">
        <f t="shared" si="31"/>
        <v>1878</v>
      </c>
      <c r="BA15" s="34">
        <f t="shared" si="31"/>
        <v>3048</v>
      </c>
      <c r="BB15" s="34">
        <f>SUM(BB9:BB14)</f>
        <v>2819</v>
      </c>
      <c r="BC15" s="17">
        <f t="shared" si="18"/>
        <v>5867</v>
      </c>
      <c r="BD15" s="17">
        <f>SUM(BD9:BD14)</f>
        <v>60</v>
      </c>
      <c r="BE15" s="17">
        <f t="shared" si="19"/>
        <v>5927</v>
      </c>
      <c r="BF15" s="17">
        <f>SUM(BF9:BF14)</f>
        <v>384</v>
      </c>
      <c r="BG15" s="81">
        <f t="shared" si="20"/>
        <v>6311</v>
      </c>
      <c r="BH15" s="48">
        <f t="shared" si="0"/>
        <v>75634890</v>
      </c>
      <c r="BI15" s="12">
        <f t="shared" si="21"/>
        <v>3183</v>
      </c>
      <c r="BJ15" s="12">
        <v>78818</v>
      </c>
      <c r="BK15" s="113">
        <f t="shared" si="23"/>
        <v>161</v>
      </c>
      <c r="BL15" s="113">
        <f t="shared" si="24"/>
        <v>78979</v>
      </c>
      <c r="BM15" s="113">
        <f t="shared" si="25"/>
        <v>2819</v>
      </c>
      <c r="BN15" s="113">
        <f t="shared" si="26"/>
        <v>81798</v>
      </c>
      <c r="BO15" s="113">
        <f t="shared" si="27"/>
        <v>1484</v>
      </c>
      <c r="BP15" s="113">
        <f t="shared" si="28"/>
        <v>83282</v>
      </c>
      <c r="BQ15" s="113">
        <f t="shared" si="29"/>
        <v>-161</v>
      </c>
      <c r="BR15" s="113">
        <f t="shared" si="30"/>
        <v>83121</v>
      </c>
    </row>
    <row r="16" spans="1:70" ht="12.75" customHeight="1" x14ac:dyDescent="0.2">
      <c r="A16" s="21" t="s">
        <v>10</v>
      </c>
      <c r="B16" s="65" t="s">
        <v>44</v>
      </c>
      <c r="C16" s="115">
        <v>5884145</v>
      </c>
      <c r="D16" s="17"/>
      <c r="E16" s="17">
        <v>5884</v>
      </c>
      <c r="F16" s="17"/>
      <c r="G16" s="17">
        <v>5884</v>
      </c>
      <c r="H16" s="17">
        <v>3154</v>
      </c>
      <c r="I16" s="17">
        <f t="shared" si="1"/>
        <v>9038</v>
      </c>
      <c r="J16" s="17"/>
      <c r="K16" s="17">
        <f t="shared" si="2"/>
        <v>9038</v>
      </c>
      <c r="L16" s="17">
        <v>161</v>
      </c>
      <c r="M16" s="81">
        <f t="shared" si="3"/>
        <v>9199</v>
      </c>
      <c r="N16" s="87"/>
      <c r="O16" s="17">
        <f t="shared" si="4"/>
        <v>0</v>
      </c>
      <c r="P16" s="17"/>
      <c r="Q16" s="17">
        <f t="shared" si="5"/>
        <v>0</v>
      </c>
      <c r="R16" s="17"/>
      <c r="S16" s="17">
        <f t="shared" si="6"/>
        <v>0</v>
      </c>
      <c r="T16" s="17"/>
      <c r="U16" s="81">
        <f t="shared" si="7"/>
        <v>0</v>
      </c>
      <c r="V16" s="115">
        <v>5633820</v>
      </c>
      <c r="W16" s="17">
        <v>1227</v>
      </c>
      <c r="X16" s="17">
        <v>6861</v>
      </c>
      <c r="Y16" s="17"/>
      <c r="Z16" s="17">
        <v>6861</v>
      </c>
      <c r="AA16" s="17"/>
      <c r="AB16" s="17">
        <f t="shared" si="9"/>
        <v>6861</v>
      </c>
      <c r="AC16" s="17"/>
      <c r="AD16" s="81">
        <f t="shared" si="10"/>
        <v>6861</v>
      </c>
      <c r="AE16" s="115">
        <v>0</v>
      </c>
      <c r="AF16" s="17"/>
      <c r="AG16" s="17">
        <f t="shared" si="11"/>
        <v>0</v>
      </c>
      <c r="AH16" s="17"/>
      <c r="AI16" s="17">
        <f t="shared" si="12"/>
        <v>0</v>
      </c>
      <c r="AJ16" s="17"/>
      <c r="AK16" s="81">
        <f t="shared" si="13"/>
        <v>0</v>
      </c>
      <c r="AL16" s="115">
        <v>1581150</v>
      </c>
      <c r="AM16" s="17"/>
      <c r="AN16" s="17">
        <v>1581</v>
      </c>
      <c r="AO16" s="17"/>
      <c r="AP16" s="17">
        <f t="shared" si="14"/>
        <v>1581</v>
      </c>
      <c r="AQ16" s="17"/>
      <c r="AR16" s="81">
        <f t="shared" si="15"/>
        <v>1581</v>
      </c>
      <c r="AS16" s="87"/>
      <c r="AT16" s="17">
        <f t="shared" si="16"/>
        <v>0</v>
      </c>
      <c r="AU16" s="17"/>
      <c r="AV16" s="17"/>
      <c r="AW16" s="17"/>
      <c r="AX16" s="81">
        <f t="shared" si="17"/>
        <v>0</v>
      </c>
      <c r="AY16" s="115">
        <v>0</v>
      </c>
      <c r="AZ16" s="17"/>
      <c r="BA16" s="17"/>
      <c r="BB16" s="17"/>
      <c r="BC16" s="17">
        <f t="shared" si="18"/>
        <v>0</v>
      </c>
      <c r="BD16" s="17"/>
      <c r="BE16" s="17">
        <f t="shared" si="19"/>
        <v>0</v>
      </c>
      <c r="BF16" s="17"/>
      <c r="BG16" s="81">
        <f t="shared" si="20"/>
        <v>0</v>
      </c>
      <c r="BH16" s="47">
        <f t="shared" si="0"/>
        <v>13099115</v>
      </c>
      <c r="BI16" s="12">
        <f t="shared" si="21"/>
        <v>1227</v>
      </c>
      <c r="BJ16" s="12">
        <v>14326</v>
      </c>
      <c r="BK16" s="113">
        <f t="shared" si="23"/>
        <v>0</v>
      </c>
      <c r="BL16" s="113">
        <f t="shared" si="24"/>
        <v>14326</v>
      </c>
      <c r="BM16" s="113">
        <f t="shared" si="25"/>
        <v>3154</v>
      </c>
      <c r="BN16" s="113">
        <f t="shared" si="26"/>
        <v>17480</v>
      </c>
      <c r="BO16" s="113">
        <f t="shared" si="27"/>
        <v>0</v>
      </c>
      <c r="BP16" s="113">
        <f t="shared" si="28"/>
        <v>17480</v>
      </c>
      <c r="BQ16" s="113">
        <f t="shared" si="29"/>
        <v>161</v>
      </c>
      <c r="BR16" s="113">
        <f t="shared" si="30"/>
        <v>17641</v>
      </c>
    </row>
    <row r="17" spans="1:70" ht="12.75" customHeight="1" x14ac:dyDescent="0.2">
      <c r="A17" s="21" t="s">
        <v>11</v>
      </c>
      <c r="B17" s="65" t="s">
        <v>45</v>
      </c>
      <c r="C17" s="115">
        <v>0</v>
      </c>
      <c r="D17" s="17"/>
      <c r="E17" s="17"/>
      <c r="F17" s="17"/>
      <c r="G17" s="17"/>
      <c r="H17" s="17"/>
      <c r="I17" s="17">
        <f t="shared" si="1"/>
        <v>0</v>
      </c>
      <c r="J17" s="17"/>
      <c r="K17" s="17">
        <f t="shared" si="2"/>
        <v>0</v>
      </c>
      <c r="L17" s="17"/>
      <c r="M17" s="81">
        <f t="shared" si="3"/>
        <v>0</v>
      </c>
      <c r="N17" s="87"/>
      <c r="O17" s="17">
        <f t="shared" si="4"/>
        <v>0</v>
      </c>
      <c r="P17" s="17"/>
      <c r="Q17" s="17">
        <f t="shared" si="5"/>
        <v>0</v>
      </c>
      <c r="R17" s="17"/>
      <c r="S17" s="17">
        <f t="shared" si="6"/>
        <v>0</v>
      </c>
      <c r="T17" s="17"/>
      <c r="U17" s="81">
        <f t="shared" si="7"/>
        <v>0</v>
      </c>
      <c r="V17" s="115">
        <v>0</v>
      </c>
      <c r="W17" s="17"/>
      <c r="X17" s="17">
        <f t="shared" si="8"/>
        <v>0</v>
      </c>
      <c r="Y17" s="17"/>
      <c r="Z17" s="17"/>
      <c r="AA17" s="17"/>
      <c r="AB17" s="17">
        <f t="shared" si="9"/>
        <v>0</v>
      </c>
      <c r="AC17" s="17"/>
      <c r="AD17" s="81">
        <f t="shared" si="10"/>
        <v>0</v>
      </c>
      <c r="AE17" s="115">
        <v>0</v>
      </c>
      <c r="AF17" s="17"/>
      <c r="AG17" s="17">
        <f t="shared" si="11"/>
        <v>0</v>
      </c>
      <c r="AH17" s="17"/>
      <c r="AI17" s="17">
        <f t="shared" si="12"/>
        <v>0</v>
      </c>
      <c r="AJ17" s="17"/>
      <c r="AK17" s="81">
        <f t="shared" si="13"/>
        <v>0</v>
      </c>
      <c r="AL17" s="115">
        <v>0</v>
      </c>
      <c r="AM17" s="17"/>
      <c r="AN17" s="17"/>
      <c r="AO17" s="17"/>
      <c r="AP17" s="17">
        <f t="shared" si="14"/>
        <v>0</v>
      </c>
      <c r="AQ17" s="17"/>
      <c r="AR17" s="81">
        <f t="shared" si="15"/>
        <v>0</v>
      </c>
      <c r="AS17" s="87"/>
      <c r="AT17" s="17">
        <f t="shared" si="16"/>
        <v>0</v>
      </c>
      <c r="AU17" s="17"/>
      <c r="AV17" s="17"/>
      <c r="AW17" s="17"/>
      <c r="AX17" s="81">
        <f t="shared" si="17"/>
        <v>0</v>
      </c>
      <c r="AY17" s="115">
        <v>0</v>
      </c>
      <c r="AZ17" s="17"/>
      <c r="BA17" s="17"/>
      <c r="BB17" s="17"/>
      <c r="BC17" s="17">
        <f t="shared" si="18"/>
        <v>0</v>
      </c>
      <c r="BD17" s="17"/>
      <c r="BE17" s="17">
        <f t="shared" si="19"/>
        <v>0</v>
      </c>
      <c r="BF17" s="17"/>
      <c r="BG17" s="81">
        <f t="shared" si="20"/>
        <v>0</v>
      </c>
      <c r="BH17" s="47">
        <f t="shared" si="0"/>
        <v>0</v>
      </c>
      <c r="BI17" s="12">
        <f t="shared" si="21"/>
        <v>0</v>
      </c>
      <c r="BJ17" s="12">
        <f t="shared" si="22"/>
        <v>0</v>
      </c>
      <c r="BK17" s="113">
        <f t="shared" si="23"/>
        <v>0</v>
      </c>
      <c r="BL17" s="113">
        <f t="shared" si="24"/>
        <v>0</v>
      </c>
      <c r="BM17" s="113">
        <f t="shared" si="25"/>
        <v>0</v>
      </c>
      <c r="BN17" s="113">
        <f t="shared" si="26"/>
        <v>0</v>
      </c>
      <c r="BO17" s="113">
        <f t="shared" si="27"/>
        <v>0</v>
      </c>
      <c r="BP17" s="113">
        <f t="shared" si="28"/>
        <v>0</v>
      </c>
      <c r="BQ17" s="113">
        <f t="shared" si="29"/>
        <v>0</v>
      </c>
      <c r="BR17" s="113">
        <f t="shared" si="30"/>
        <v>0</v>
      </c>
    </row>
    <row r="18" spans="1:70" ht="12.75" customHeight="1" x14ac:dyDescent="0.2">
      <c r="A18" s="21" t="s">
        <v>12</v>
      </c>
      <c r="B18" s="65" t="s">
        <v>46</v>
      </c>
      <c r="C18" s="115">
        <v>0</v>
      </c>
      <c r="D18" s="17"/>
      <c r="E18" s="17"/>
      <c r="F18" s="17"/>
      <c r="G18" s="17"/>
      <c r="H18" s="17"/>
      <c r="I18" s="17">
        <f t="shared" si="1"/>
        <v>0</v>
      </c>
      <c r="J18" s="17"/>
      <c r="K18" s="17">
        <f t="shared" si="2"/>
        <v>0</v>
      </c>
      <c r="L18" s="17"/>
      <c r="M18" s="81">
        <f t="shared" si="3"/>
        <v>0</v>
      </c>
      <c r="N18" s="87"/>
      <c r="O18" s="17">
        <f t="shared" si="4"/>
        <v>0</v>
      </c>
      <c r="P18" s="17"/>
      <c r="Q18" s="17">
        <f t="shared" si="5"/>
        <v>0</v>
      </c>
      <c r="R18" s="17"/>
      <c r="S18" s="17">
        <f t="shared" si="6"/>
        <v>0</v>
      </c>
      <c r="T18" s="17"/>
      <c r="U18" s="81">
        <f t="shared" si="7"/>
        <v>0</v>
      </c>
      <c r="V18" s="115">
        <v>0</v>
      </c>
      <c r="W18" s="17"/>
      <c r="X18" s="17">
        <f t="shared" si="8"/>
        <v>0</v>
      </c>
      <c r="Y18" s="17"/>
      <c r="Z18" s="17"/>
      <c r="AA18" s="17"/>
      <c r="AB18" s="17">
        <f t="shared" si="9"/>
        <v>0</v>
      </c>
      <c r="AC18" s="17"/>
      <c r="AD18" s="81">
        <f t="shared" si="10"/>
        <v>0</v>
      </c>
      <c r="AE18" s="115">
        <v>0</v>
      </c>
      <c r="AF18" s="17"/>
      <c r="AG18" s="17">
        <f t="shared" si="11"/>
        <v>0</v>
      </c>
      <c r="AH18" s="17"/>
      <c r="AI18" s="17">
        <f t="shared" si="12"/>
        <v>0</v>
      </c>
      <c r="AJ18" s="17"/>
      <c r="AK18" s="81">
        <f t="shared" si="13"/>
        <v>0</v>
      </c>
      <c r="AL18" s="115">
        <v>0</v>
      </c>
      <c r="AM18" s="17"/>
      <c r="AN18" s="17"/>
      <c r="AO18" s="17"/>
      <c r="AP18" s="17">
        <f t="shared" si="14"/>
        <v>0</v>
      </c>
      <c r="AQ18" s="17"/>
      <c r="AR18" s="81">
        <f t="shared" si="15"/>
        <v>0</v>
      </c>
      <c r="AS18" s="87"/>
      <c r="AT18" s="17">
        <f t="shared" si="16"/>
        <v>0</v>
      </c>
      <c r="AU18" s="17"/>
      <c r="AV18" s="17"/>
      <c r="AW18" s="17"/>
      <c r="AX18" s="81">
        <f t="shared" si="17"/>
        <v>0</v>
      </c>
      <c r="AY18" s="115">
        <v>0</v>
      </c>
      <c r="AZ18" s="17"/>
      <c r="BA18" s="17"/>
      <c r="BB18" s="17"/>
      <c r="BC18" s="17">
        <f t="shared" si="18"/>
        <v>0</v>
      </c>
      <c r="BD18" s="17"/>
      <c r="BE18" s="17">
        <f t="shared" si="19"/>
        <v>0</v>
      </c>
      <c r="BF18" s="17"/>
      <c r="BG18" s="81">
        <f t="shared" si="20"/>
        <v>0</v>
      </c>
      <c r="BH18" s="47">
        <f t="shared" si="0"/>
        <v>0</v>
      </c>
      <c r="BI18" s="12">
        <f t="shared" si="21"/>
        <v>0</v>
      </c>
      <c r="BJ18" s="12">
        <f t="shared" si="22"/>
        <v>0</v>
      </c>
      <c r="BK18" s="113">
        <f t="shared" si="23"/>
        <v>0</v>
      </c>
      <c r="BL18" s="113">
        <f t="shared" si="24"/>
        <v>0</v>
      </c>
      <c r="BM18" s="113">
        <f t="shared" si="25"/>
        <v>0</v>
      </c>
      <c r="BN18" s="113">
        <f t="shared" si="26"/>
        <v>0</v>
      </c>
      <c r="BO18" s="113">
        <f t="shared" si="27"/>
        <v>0</v>
      </c>
      <c r="BP18" s="113">
        <f t="shared" si="28"/>
        <v>0</v>
      </c>
      <c r="BQ18" s="113">
        <f t="shared" si="29"/>
        <v>0</v>
      </c>
      <c r="BR18" s="113">
        <f t="shared" si="30"/>
        <v>0</v>
      </c>
    </row>
    <row r="19" spans="1:70" s="7" customFormat="1" ht="12.75" customHeight="1" x14ac:dyDescent="0.2">
      <c r="A19" s="20" t="s">
        <v>13</v>
      </c>
      <c r="B19" s="68" t="s">
        <v>47</v>
      </c>
      <c r="C19" s="90">
        <f>C18+C17+C16</f>
        <v>5884145</v>
      </c>
      <c r="D19" s="34">
        <f t="shared" ref="D19:BA19" si="32">D18+D17+D16</f>
        <v>0</v>
      </c>
      <c r="E19" s="34">
        <f t="shared" si="32"/>
        <v>5884</v>
      </c>
      <c r="F19" s="34"/>
      <c r="G19" s="34">
        <v>5884</v>
      </c>
      <c r="H19" s="34">
        <v>3154</v>
      </c>
      <c r="I19" s="17">
        <f t="shared" si="1"/>
        <v>9038</v>
      </c>
      <c r="J19" s="17"/>
      <c r="K19" s="17">
        <f t="shared" si="2"/>
        <v>9038</v>
      </c>
      <c r="L19" s="17">
        <v>161</v>
      </c>
      <c r="M19" s="81">
        <f t="shared" si="3"/>
        <v>9199</v>
      </c>
      <c r="N19" s="89"/>
      <c r="O19" s="17">
        <f t="shared" si="4"/>
        <v>0</v>
      </c>
      <c r="P19" s="17"/>
      <c r="Q19" s="17">
        <f t="shared" si="5"/>
        <v>0</v>
      </c>
      <c r="R19" s="17"/>
      <c r="S19" s="17">
        <f t="shared" si="6"/>
        <v>0</v>
      </c>
      <c r="T19" s="17"/>
      <c r="U19" s="81">
        <f t="shared" si="7"/>
        <v>0</v>
      </c>
      <c r="V19" s="90">
        <f t="shared" si="32"/>
        <v>5633820</v>
      </c>
      <c r="W19" s="34">
        <f t="shared" si="32"/>
        <v>1227</v>
      </c>
      <c r="X19" s="17">
        <v>6861</v>
      </c>
      <c r="Y19" s="17"/>
      <c r="Z19" s="17">
        <v>6861</v>
      </c>
      <c r="AA19" s="17"/>
      <c r="AB19" s="17">
        <f t="shared" si="9"/>
        <v>6861</v>
      </c>
      <c r="AC19" s="17"/>
      <c r="AD19" s="81">
        <f t="shared" si="10"/>
        <v>6861</v>
      </c>
      <c r="AE19" s="90">
        <f t="shared" si="32"/>
        <v>0</v>
      </c>
      <c r="AF19" s="34">
        <f t="shared" si="32"/>
        <v>0</v>
      </c>
      <c r="AG19" s="17">
        <f t="shared" si="11"/>
        <v>0</v>
      </c>
      <c r="AH19" s="17"/>
      <c r="AI19" s="17">
        <f t="shared" si="12"/>
        <v>0</v>
      </c>
      <c r="AJ19" s="17"/>
      <c r="AK19" s="81">
        <f t="shared" si="13"/>
        <v>0</v>
      </c>
      <c r="AL19" s="90">
        <f t="shared" si="32"/>
        <v>1581150</v>
      </c>
      <c r="AM19" s="34">
        <f t="shared" si="32"/>
        <v>0</v>
      </c>
      <c r="AN19" s="34">
        <f t="shared" si="32"/>
        <v>1581</v>
      </c>
      <c r="AO19" s="34"/>
      <c r="AP19" s="17">
        <f t="shared" si="14"/>
        <v>1581</v>
      </c>
      <c r="AQ19" s="17"/>
      <c r="AR19" s="81">
        <f t="shared" si="15"/>
        <v>1581</v>
      </c>
      <c r="AS19" s="89"/>
      <c r="AT19" s="17">
        <f t="shared" si="16"/>
        <v>0</v>
      </c>
      <c r="AU19" s="17"/>
      <c r="AV19" s="17"/>
      <c r="AW19" s="17"/>
      <c r="AX19" s="81">
        <f t="shared" si="17"/>
        <v>0</v>
      </c>
      <c r="AY19" s="90">
        <f t="shared" si="32"/>
        <v>0</v>
      </c>
      <c r="AZ19" s="34">
        <f t="shared" si="32"/>
        <v>0</v>
      </c>
      <c r="BA19" s="34">
        <f t="shared" si="32"/>
        <v>0</v>
      </c>
      <c r="BB19" s="34"/>
      <c r="BC19" s="17">
        <f t="shared" si="18"/>
        <v>0</v>
      </c>
      <c r="BD19" s="17"/>
      <c r="BE19" s="17">
        <f t="shared" si="19"/>
        <v>0</v>
      </c>
      <c r="BF19" s="17"/>
      <c r="BG19" s="81">
        <f t="shared" si="20"/>
        <v>0</v>
      </c>
      <c r="BH19" s="48">
        <f t="shared" si="0"/>
        <v>13099115</v>
      </c>
      <c r="BI19" s="12">
        <f t="shared" si="21"/>
        <v>1227</v>
      </c>
      <c r="BJ19" s="12">
        <v>14326</v>
      </c>
      <c r="BK19" s="113">
        <f t="shared" si="23"/>
        <v>0</v>
      </c>
      <c r="BL19" s="113">
        <f t="shared" si="24"/>
        <v>14326</v>
      </c>
      <c r="BM19" s="113">
        <f t="shared" si="25"/>
        <v>3154</v>
      </c>
      <c r="BN19" s="113">
        <f t="shared" si="26"/>
        <v>17480</v>
      </c>
      <c r="BO19" s="113">
        <f t="shared" si="27"/>
        <v>0</v>
      </c>
      <c r="BP19" s="113">
        <f t="shared" si="28"/>
        <v>17480</v>
      </c>
      <c r="BQ19" s="113">
        <f t="shared" si="29"/>
        <v>161</v>
      </c>
      <c r="BR19" s="113">
        <f t="shared" si="30"/>
        <v>17641</v>
      </c>
    </row>
    <row r="20" spans="1:70" s="7" customFormat="1" ht="12.75" customHeight="1" x14ac:dyDescent="0.2">
      <c r="A20" s="20" t="s">
        <v>14</v>
      </c>
      <c r="B20" s="68" t="s">
        <v>73</v>
      </c>
      <c r="C20" s="90">
        <v>0</v>
      </c>
      <c r="D20" s="34"/>
      <c r="E20" s="34"/>
      <c r="F20" s="34"/>
      <c r="G20" s="34"/>
      <c r="H20" s="34"/>
      <c r="I20" s="17">
        <f t="shared" si="1"/>
        <v>0</v>
      </c>
      <c r="J20" s="17"/>
      <c r="K20" s="17">
        <f t="shared" si="2"/>
        <v>0</v>
      </c>
      <c r="L20" s="17"/>
      <c r="M20" s="81">
        <f t="shared" si="3"/>
        <v>0</v>
      </c>
      <c r="N20" s="89"/>
      <c r="O20" s="17">
        <f t="shared" si="4"/>
        <v>0</v>
      </c>
      <c r="P20" s="17"/>
      <c r="Q20" s="17">
        <f t="shared" si="5"/>
        <v>0</v>
      </c>
      <c r="R20" s="17"/>
      <c r="S20" s="17">
        <f t="shared" si="6"/>
        <v>0</v>
      </c>
      <c r="T20" s="17"/>
      <c r="U20" s="81">
        <f t="shared" si="7"/>
        <v>0</v>
      </c>
      <c r="V20" s="90">
        <v>0</v>
      </c>
      <c r="W20" s="34"/>
      <c r="X20" s="17">
        <f t="shared" si="8"/>
        <v>0</v>
      </c>
      <c r="Y20" s="17"/>
      <c r="Z20" s="17"/>
      <c r="AA20" s="17"/>
      <c r="AB20" s="17">
        <f t="shared" si="9"/>
        <v>0</v>
      </c>
      <c r="AC20" s="17"/>
      <c r="AD20" s="81">
        <f t="shared" si="10"/>
        <v>0</v>
      </c>
      <c r="AE20" s="90">
        <v>0</v>
      </c>
      <c r="AF20" s="34"/>
      <c r="AG20" s="17">
        <f t="shared" si="11"/>
        <v>0</v>
      </c>
      <c r="AH20" s="17"/>
      <c r="AI20" s="17">
        <f t="shared" si="12"/>
        <v>0</v>
      </c>
      <c r="AJ20" s="17"/>
      <c r="AK20" s="81">
        <f t="shared" si="13"/>
        <v>0</v>
      </c>
      <c r="AL20" s="90">
        <v>0</v>
      </c>
      <c r="AM20" s="34"/>
      <c r="AN20" s="34"/>
      <c r="AO20" s="34"/>
      <c r="AP20" s="17">
        <f t="shared" si="14"/>
        <v>0</v>
      </c>
      <c r="AQ20" s="17"/>
      <c r="AR20" s="81">
        <f t="shared" si="15"/>
        <v>0</v>
      </c>
      <c r="AS20" s="89"/>
      <c r="AT20" s="17">
        <f t="shared" si="16"/>
        <v>0</v>
      </c>
      <c r="AU20" s="17"/>
      <c r="AV20" s="17"/>
      <c r="AW20" s="17"/>
      <c r="AX20" s="81">
        <f t="shared" si="17"/>
        <v>0</v>
      </c>
      <c r="AY20" s="90">
        <v>0</v>
      </c>
      <c r="AZ20" s="34"/>
      <c r="BA20" s="34"/>
      <c r="BB20" s="34"/>
      <c r="BC20" s="17">
        <f t="shared" si="18"/>
        <v>0</v>
      </c>
      <c r="BD20" s="17"/>
      <c r="BE20" s="17">
        <f t="shared" si="19"/>
        <v>0</v>
      </c>
      <c r="BF20" s="17"/>
      <c r="BG20" s="81">
        <f t="shared" si="20"/>
        <v>0</v>
      </c>
      <c r="BH20" s="48">
        <f t="shared" si="0"/>
        <v>0</v>
      </c>
      <c r="BI20" s="12">
        <f t="shared" si="21"/>
        <v>0</v>
      </c>
      <c r="BJ20" s="12">
        <f t="shared" si="22"/>
        <v>0</v>
      </c>
      <c r="BK20" s="113">
        <f t="shared" si="23"/>
        <v>0</v>
      </c>
      <c r="BL20" s="113">
        <f t="shared" si="24"/>
        <v>0</v>
      </c>
      <c r="BM20" s="113">
        <f t="shared" si="25"/>
        <v>0</v>
      </c>
      <c r="BN20" s="113">
        <f t="shared" si="26"/>
        <v>0</v>
      </c>
      <c r="BO20" s="113">
        <f t="shared" si="27"/>
        <v>0</v>
      </c>
      <c r="BP20" s="113">
        <f t="shared" si="28"/>
        <v>0</v>
      </c>
      <c r="BQ20" s="113">
        <f t="shared" si="29"/>
        <v>0</v>
      </c>
      <c r="BR20" s="113">
        <f t="shared" si="30"/>
        <v>0</v>
      </c>
    </row>
    <row r="21" spans="1:70" s="24" customFormat="1" ht="12.75" customHeight="1" x14ac:dyDescent="0.2">
      <c r="A21" s="28" t="s">
        <v>15</v>
      </c>
      <c r="B21" s="67" t="s">
        <v>77</v>
      </c>
      <c r="C21" s="46">
        <v>0</v>
      </c>
      <c r="D21" s="36"/>
      <c r="E21" s="36"/>
      <c r="F21" s="36"/>
      <c r="G21" s="36"/>
      <c r="H21" s="36"/>
      <c r="I21" s="17">
        <f t="shared" si="1"/>
        <v>0</v>
      </c>
      <c r="J21" s="17"/>
      <c r="K21" s="17">
        <f t="shared" si="2"/>
        <v>0</v>
      </c>
      <c r="L21" s="17"/>
      <c r="M21" s="81">
        <f t="shared" si="3"/>
        <v>0</v>
      </c>
      <c r="N21" s="88"/>
      <c r="O21" s="17">
        <f t="shared" si="4"/>
        <v>0</v>
      </c>
      <c r="P21" s="17"/>
      <c r="Q21" s="17">
        <f t="shared" si="5"/>
        <v>0</v>
      </c>
      <c r="R21" s="17"/>
      <c r="S21" s="17">
        <f t="shared" si="6"/>
        <v>0</v>
      </c>
      <c r="T21" s="17"/>
      <c r="U21" s="81">
        <f t="shared" si="7"/>
        <v>0</v>
      </c>
      <c r="V21" s="46">
        <v>0</v>
      </c>
      <c r="W21" s="36"/>
      <c r="X21" s="17">
        <f t="shared" si="8"/>
        <v>0</v>
      </c>
      <c r="Y21" s="17"/>
      <c r="Z21" s="17"/>
      <c r="AA21" s="17"/>
      <c r="AB21" s="17">
        <f t="shared" si="9"/>
        <v>0</v>
      </c>
      <c r="AC21" s="17"/>
      <c r="AD21" s="81">
        <f t="shared" si="10"/>
        <v>0</v>
      </c>
      <c r="AE21" s="46">
        <v>0</v>
      </c>
      <c r="AF21" s="36"/>
      <c r="AG21" s="17">
        <f t="shared" si="11"/>
        <v>0</v>
      </c>
      <c r="AH21" s="17"/>
      <c r="AI21" s="17">
        <f t="shared" si="12"/>
        <v>0</v>
      </c>
      <c r="AJ21" s="17"/>
      <c r="AK21" s="81">
        <f t="shared" si="13"/>
        <v>0</v>
      </c>
      <c r="AL21" s="46">
        <v>0</v>
      </c>
      <c r="AM21" s="36"/>
      <c r="AN21" s="36"/>
      <c r="AO21" s="36"/>
      <c r="AP21" s="17">
        <f t="shared" si="14"/>
        <v>0</v>
      </c>
      <c r="AQ21" s="17"/>
      <c r="AR21" s="81">
        <f t="shared" si="15"/>
        <v>0</v>
      </c>
      <c r="AS21" s="88"/>
      <c r="AT21" s="17">
        <f t="shared" si="16"/>
        <v>0</v>
      </c>
      <c r="AU21" s="17"/>
      <c r="AV21" s="17"/>
      <c r="AW21" s="17"/>
      <c r="AX21" s="81">
        <f t="shared" si="17"/>
        <v>0</v>
      </c>
      <c r="AY21" s="46">
        <v>0</v>
      </c>
      <c r="AZ21" s="36"/>
      <c r="BA21" s="36"/>
      <c r="BB21" s="36"/>
      <c r="BC21" s="17">
        <f t="shared" si="18"/>
        <v>0</v>
      </c>
      <c r="BD21" s="17"/>
      <c r="BE21" s="17">
        <f t="shared" si="19"/>
        <v>0</v>
      </c>
      <c r="BF21" s="17"/>
      <c r="BG21" s="81">
        <f t="shared" si="20"/>
        <v>0</v>
      </c>
      <c r="BH21" s="47">
        <f t="shared" si="0"/>
        <v>0</v>
      </c>
      <c r="BI21" s="12">
        <f t="shared" si="21"/>
        <v>0</v>
      </c>
      <c r="BJ21" s="12">
        <f t="shared" si="22"/>
        <v>0</v>
      </c>
      <c r="BK21" s="113">
        <f t="shared" si="23"/>
        <v>0</v>
      </c>
      <c r="BL21" s="113">
        <f t="shared" si="24"/>
        <v>0</v>
      </c>
      <c r="BM21" s="113">
        <f t="shared" si="25"/>
        <v>0</v>
      </c>
      <c r="BN21" s="113">
        <f t="shared" si="26"/>
        <v>0</v>
      </c>
      <c r="BO21" s="113">
        <f t="shared" si="27"/>
        <v>0</v>
      </c>
      <c r="BP21" s="113">
        <f t="shared" si="28"/>
        <v>0</v>
      </c>
      <c r="BQ21" s="113">
        <f t="shared" si="29"/>
        <v>0</v>
      </c>
      <c r="BR21" s="113">
        <f t="shared" si="30"/>
        <v>0</v>
      </c>
    </row>
    <row r="22" spans="1:70" s="7" customFormat="1" ht="12.75" customHeight="1" x14ac:dyDescent="0.2">
      <c r="A22" s="20" t="s">
        <v>16</v>
      </c>
      <c r="B22" s="68" t="s">
        <v>48</v>
      </c>
      <c r="C22" s="90">
        <f>C20+C19+C15</f>
        <v>61508354</v>
      </c>
      <c r="D22" s="34">
        <f t="shared" ref="D22:BA22" si="33">D20+D19+D15</f>
        <v>-21324</v>
      </c>
      <c r="E22" s="34">
        <f t="shared" si="33"/>
        <v>40185</v>
      </c>
      <c r="F22" s="34">
        <v>3258</v>
      </c>
      <c r="G22" s="34">
        <f>G15+G19</f>
        <v>43443</v>
      </c>
      <c r="H22" s="34">
        <v>3154</v>
      </c>
      <c r="I22" s="17">
        <f t="shared" si="1"/>
        <v>46597</v>
      </c>
      <c r="J22" s="17">
        <v>4588</v>
      </c>
      <c r="K22" s="17">
        <f t="shared" si="2"/>
        <v>51185</v>
      </c>
      <c r="L22" s="17">
        <f>L15+L19</f>
        <v>-5901</v>
      </c>
      <c r="M22" s="81">
        <f t="shared" si="3"/>
        <v>45284</v>
      </c>
      <c r="N22" s="89">
        <f>SUM(N15)</f>
        <v>22629</v>
      </c>
      <c r="O22" s="17">
        <f t="shared" si="4"/>
        <v>22629</v>
      </c>
      <c r="P22" s="17">
        <v>-3214</v>
      </c>
      <c r="Q22" s="17">
        <f t="shared" si="5"/>
        <v>19415</v>
      </c>
      <c r="R22" s="17">
        <v>-3214</v>
      </c>
      <c r="S22" s="17">
        <f t="shared" si="6"/>
        <v>16201</v>
      </c>
      <c r="T22" s="17">
        <f>SUM(T15)</f>
        <v>5595</v>
      </c>
      <c r="U22" s="81">
        <f t="shared" si="7"/>
        <v>21796</v>
      </c>
      <c r="V22" s="90">
        <f t="shared" si="33"/>
        <v>18126338</v>
      </c>
      <c r="W22" s="34">
        <f t="shared" si="33"/>
        <v>1227</v>
      </c>
      <c r="X22" s="17">
        <f t="shared" si="8"/>
        <v>18127.564999999999</v>
      </c>
      <c r="Y22" s="17">
        <f>SUM(Y15)</f>
        <v>99</v>
      </c>
      <c r="Z22" s="17">
        <f>Z15+Z19</f>
        <v>19452</v>
      </c>
      <c r="AA22" s="17">
        <v>50</v>
      </c>
      <c r="AB22" s="17">
        <f t="shared" si="9"/>
        <v>19502</v>
      </c>
      <c r="AC22" s="17">
        <f>SUM(AC15)</f>
        <v>220</v>
      </c>
      <c r="AD22" s="81">
        <f t="shared" si="10"/>
        <v>19722</v>
      </c>
      <c r="AE22" s="90">
        <f t="shared" si="33"/>
        <v>635000</v>
      </c>
      <c r="AF22" s="34">
        <f t="shared" si="33"/>
        <v>0</v>
      </c>
      <c r="AG22" s="17">
        <v>635</v>
      </c>
      <c r="AH22" s="17">
        <v>5</v>
      </c>
      <c r="AI22" s="17">
        <f t="shared" si="12"/>
        <v>640</v>
      </c>
      <c r="AJ22" s="17">
        <v>0</v>
      </c>
      <c r="AK22" s="81">
        <f t="shared" si="13"/>
        <v>640</v>
      </c>
      <c r="AL22" s="90">
        <f t="shared" si="33"/>
        <v>7295244</v>
      </c>
      <c r="AM22" s="34">
        <f t="shared" si="33"/>
        <v>-2931</v>
      </c>
      <c r="AN22" s="34">
        <v>4364</v>
      </c>
      <c r="AO22" s="34">
        <v>23</v>
      </c>
      <c r="AP22" s="17">
        <f t="shared" si="14"/>
        <v>4387</v>
      </c>
      <c r="AQ22" s="17">
        <f>AQ15</f>
        <v>-564</v>
      </c>
      <c r="AR22" s="81">
        <f t="shared" si="15"/>
        <v>3823</v>
      </c>
      <c r="AS22" s="89">
        <f>SUM(AS15)</f>
        <v>2931</v>
      </c>
      <c r="AT22" s="17">
        <f t="shared" si="16"/>
        <v>2931</v>
      </c>
      <c r="AU22" s="17">
        <v>-10</v>
      </c>
      <c r="AV22" s="17">
        <v>2921</v>
      </c>
      <c r="AW22" s="17">
        <f>SUM(AW15)</f>
        <v>266</v>
      </c>
      <c r="AX22" s="81">
        <f t="shared" si="17"/>
        <v>3187</v>
      </c>
      <c r="AY22" s="90">
        <f t="shared" si="33"/>
        <v>1169069</v>
      </c>
      <c r="AZ22" s="34">
        <f t="shared" si="33"/>
        <v>1878</v>
      </c>
      <c r="BA22" s="34">
        <f t="shared" si="33"/>
        <v>3048</v>
      </c>
      <c r="BB22" s="34">
        <f>SUM(BB15)</f>
        <v>2819</v>
      </c>
      <c r="BC22" s="17">
        <f t="shared" si="18"/>
        <v>5867</v>
      </c>
      <c r="BD22" s="17">
        <f>SUM(BD15)</f>
        <v>60</v>
      </c>
      <c r="BE22" s="17">
        <f t="shared" si="19"/>
        <v>5927</v>
      </c>
      <c r="BF22" s="17">
        <f>SUM(BF15)</f>
        <v>384</v>
      </c>
      <c r="BG22" s="81">
        <f t="shared" si="20"/>
        <v>6311</v>
      </c>
      <c r="BH22" s="48">
        <f t="shared" si="0"/>
        <v>88734005</v>
      </c>
      <c r="BI22" s="12">
        <f t="shared" si="21"/>
        <v>4410</v>
      </c>
      <c r="BJ22" s="12">
        <v>93144</v>
      </c>
      <c r="BK22" s="113">
        <f t="shared" si="23"/>
        <v>161</v>
      </c>
      <c r="BL22" s="113">
        <f t="shared" si="24"/>
        <v>93305</v>
      </c>
      <c r="BM22" s="113">
        <f t="shared" si="25"/>
        <v>5973</v>
      </c>
      <c r="BN22" s="113">
        <f t="shared" si="26"/>
        <v>99278</v>
      </c>
      <c r="BO22" s="113">
        <f t="shared" si="27"/>
        <v>1484</v>
      </c>
      <c r="BP22" s="113">
        <f t="shared" si="28"/>
        <v>100762</v>
      </c>
      <c r="BQ22" s="113">
        <f t="shared" si="29"/>
        <v>0</v>
      </c>
      <c r="BR22" s="113">
        <f t="shared" si="30"/>
        <v>100762</v>
      </c>
    </row>
    <row r="23" spans="1:70" ht="12.75" customHeight="1" x14ac:dyDescent="0.2">
      <c r="A23" s="497" t="s">
        <v>55</v>
      </c>
      <c r="B23" s="498"/>
      <c r="C23" s="115"/>
      <c r="D23" s="17"/>
      <c r="E23" s="17"/>
      <c r="F23" s="17"/>
      <c r="G23" s="17"/>
      <c r="H23" s="17"/>
      <c r="I23" s="17">
        <f t="shared" si="1"/>
        <v>0</v>
      </c>
      <c r="J23" s="17"/>
      <c r="K23" s="17">
        <f t="shared" si="2"/>
        <v>0</v>
      </c>
      <c r="L23" s="17"/>
      <c r="M23" s="81">
        <f t="shared" si="3"/>
        <v>0</v>
      </c>
      <c r="N23" s="87"/>
      <c r="O23" s="17">
        <f t="shared" si="4"/>
        <v>0</v>
      </c>
      <c r="P23" s="17"/>
      <c r="Q23" s="17">
        <f t="shared" si="5"/>
        <v>0</v>
      </c>
      <c r="R23" s="17"/>
      <c r="S23" s="17">
        <f t="shared" si="6"/>
        <v>0</v>
      </c>
      <c r="T23" s="17"/>
      <c r="U23" s="81">
        <f t="shared" si="7"/>
        <v>0</v>
      </c>
      <c r="V23" s="87"/>
      <c r="W23" s="17"/>
      <c r="X23" s="17">
        <f t="shared" si="8"/>
        <v>0</v>
      </c>
      <c r="Y23" s="17"/>
      <c r="Z23" s="17"/>
      <c r="AA23" s="17"/>
      <c r="AB23" s="17">
        <f t="shared" si="9"/>
        <v>0</v>
      </c>
      <c r="AC23" s="17"/>
      <c r="AD23" s="81">
        <f t="shared" si="10"/>
        <v>0</v>
      </c>
      <c r="AE23" s="87"/>
      <c r="AF23" s="17"/>
      <c r="AG23" s="17">
        <f t="shared" si="11"/>
        <v>0</v>
      </c>
      <c r="AH23" s="17"/>
      <c r="AI23" s="17">
        <f t="shared" si="12"/>
        <v>0</v>
      </c>
      <c r="AJ23" s="17"/>
      <c r="AK23" s="81">
        <f t="shared" si="13"/>
        <v>0</v>
      </c>
      <c r="AL23" s="115"/>
      <c r="AM23" s="17"/>
      <c r="AN23" s="17"/>
      <c r="AO23" s="17"/>
      <c r="AP23" s="17">
        <f t="shared" si="14"/>
        <v>0</v>
      </c>
      <c r="AQ23" s="17"/>
      <c r="AR23" s="81">
        <f t="shared" si="15"/>
        <v>0</v>
      </c>
      <c r="AS23" s="87"/>
      <c r="AT23" s="17">
        <f t="shared" si="16"/>
        <v>0</v>
      </c>
      <c r="AU23" s="17"/>
      <c r="AV23" s="17"/>
      <c r="AW23" s="17"/>
      <c r="AX23" s="81">
        <f t="shared" si="17"/>
        <v>0</v>
      </c>
      <c r="AY23" s="115"/>
      <c r="AZ23" s="17"/>
      <c r="BA23" s="17"/>
      <c r="BB23" s="17"/>
      <c r="BC23" s="17">
        <f t="shared" si="18"/>
        <v>0</v>
      </c>
      <c r="BD23" s="17"/>
      <c r="BE23" s="17">
        <f t="shared" si="19"/>
        <v>0</v>
      </c>
      <c r="BF23" s="17"/>
      <c r="BG23" s="81">
        <f t="shared" si="20"/>
        <v>0</v>
      </c>
      <c r="BH23" s="47">
        <f t="shared" si="0"/>
        <v>0</v>
      </c>
      <c r="BI23" s="12">
        <f t="shared" si="21"/>
        <v>0</v>
      </c>
      <c r="BJ23" s="12">
        <f t="shared" si="22"/>
        <v>0</v>
      </c>
      <c r="BK23" s="113">
        <f t="shared" si="23"/>
        <v>0</v>
      </c>
      <c r="BL23" s="113">
        <f t="shared" si="24"/>
        <v>0</v>
      </c>
      <c r="BM23" s="113">
        <f t="shared" si="25"/>
        <v>0</v>
      </c>
      <c r="BN23" s="113">
        <f t="shared" si="26"/>
        <v>0</v>
      </c>
      <c r="BO23" s="113">
        <f t="shared" si="27"/>
        <v>0</v>
      </c>
      <c r="BP23" s="113">
        <f t="shared" si="28"/>
        <v>0</v>
      </c>
      <c r="BQ23" s="113">
        <f t="shared" si="29"/>
        <v>0</v>
      </c>
      <c r="BR23" s="113">
        <f t="shared" si="30"/>
        <v>0</v>
      </c>
    </row>
    <row r="24" spans="1:70" ht="12.75" customHeight="1" x14ac:dyDescent="0.2">
      <c r="A24" s="21" t="s">
        <v>17</v>
      </c>
      <c r="B24" s="65" t="s">
        <v>78</v>
      </c>
      <c r="C24" s="115">
        <v>0</v>
      </c>
      <c r="D24" s="17"/>
      <c r="E24" s="17"/>
      <c r="F24" s="17"/>
      <c r="G24" s="17"/>
      <c r="H24" s="17"/>
      <c r="I24" s="17">
        <f t="shared" si="1"/>
        <v>0</v>
      </c>
      <c r="J24" s="17">
        <v>1484</v>
      </c>
      <c r="K24" s="17">
        <f t="shared" si="2"/>
        <v>1484</v>
      </c>
      <c r="L24" s="17"/>
      <c r="M24" s="81">
        <f t="shared" si="3"/>
        <v>1484</v>
      </c>
      <c r="N24" s="87"/>
      <c r="O24" s="17">
        <f t="shared" si="4"/>
        <v>0</v>
      </c>
      <c r="P24" s="17"/>
      <c r="Q24" s="17">
        <f t="shared" si="5"/>
        <v>0</v>
      </c>
      <c r="R24" s="17"/>
      <c r="S24" s="17">
        <f t="shared" si="6"/>
        <v>0</v>
      </c>
      <c r="T24" s="17"/>
      <c r="U24" s="81">
        <f t="shared" si="7"/>
        <v>0</v>
      </c>
      <c r="V24" s="87"/>
      <c r="W24" s="17"/>
      <c r="X24" s="17"/>
      <c r="Y24" s="17"/>
      <c r="Z24" s="17"/>
      <c r="AA24" s="17"/>
      <c r="AB24" s="17">
        <f t="shared" si="9"/>
        <v>0</v>
      </c>
      <c r="AC24" s="17"/>
      <c r="AD24" s="81">
        <f t="shared" si="10"/>
        <v>0</v>
      </c>
      <c r="AE24" s="87"/>
      <c r="AF24" s="17"/>
      <c r="AG24" s="17">
        <f t="shared" si="11"/>
        <v>0</v>
      </c>
      <c r="AH24" s="17"/>
      <c r="AI24" s="17">
        <f t="shared" si="12"/>
        <v>0</v>
      </c>
      <c r="AJ24" s="17"/>
      <c r="AK24" s="81">
        <f t="shared" si="13"/>
        <v>0</v>
      </c>
      <c r="AL24" s="115"/>
      <c r="AM24" s="17"/>
      <c r="AN24" s="17"/>
      <c r="AO24" s="17"/>
      <c r="AP24" s="17">
        <f t="shared" si="14"/>
        <v>0</v>
      </c>
      <c r="AQ24" s="17"/>
      <c r="AR24" s="81">
        <f t="shared" si="15"/>
        <v>0</v>
      </c>
      <c r="AS24" s="87"/>
      <c r="AT24" s="17">
        <f t="shared" si="16"/>
        <v>0</v>
      </c>
      <c r="AU24" s="17"/>
      <c r="AV24" s="17"/>
      <c r="AW24" s="17"/>
      <c r="AX24" s="81">
        <f t="shared" si="17"/>
        <v>0</v>
      </c>
      <c r="AY24" s="115">
        <v>1169069</v>
      </c>
      <c r="AZ24" s="17">
        <v>1878</v>
      </c>
      <c r="BA24" s="17">
        <v>3048</v>
      </c>
      <c r="BB24" s="17">
        <v>2818</v>
      </c>
      <c r="BC24" s="17">
        <f t="shared" si="18"/>
        <v>5866</v>
      </c>
      <c r="BD24" s="17"/>
      <c r="BE24" s="17">
        <f t="shared" si="19"/>
        <v>5866</v>
      </c>
      <c r="BF24" s="17"/>
      <c r="BG24" s="81">
        <f t="shared" si="20"/>
        <v>5866</v>
      </c>
      <c r="BH24" s="47">
        <f t="shared" si="0"/>
        <v>1169069</v>
      </c>
      <c r="BI24" s="12">
        <f t="shared" si="21"/>
        <v>1878</v>
      </c>
      <c r="BJ24" s="12">
        <f t="shared" si="22"/>
        <v>3048</v>
      </c>
      <c r="BK24" s="113">
        <f t="shared" si="23"/>
        <v>0</v>
      </c>
      <c r="BL24" s="113">
        <f t="shared" si="24"/>
        <v>3048</v>
      </c>
      <c r="BM24" s="113">
        <f t="shared" si="25"/>
        <v>2818</v>
      </c>
      <c r="BN24" s="113">
        <f t="shared" si="26"/>
        <v>5866</v>
      </c>
      <c r="BO24" s="113">
        <f t="shared" si="27"/>
        <v>1484</v>
      </c>
      <c r="BP24" s="113">
        <f t="shared" si="28"/>
        <v>7350</v>
      </c>
      <c r="BQ24" s="113">
        <f t="shared" si="29"/>
        <v>0</v>
      </c>
      <c r="BR24" s="113">
        <f t="shared" si="30"/>
        <v>7350</v>
      </c>
    </row>
    <row r="25" spans="1:70" s="24" customFormat="1" ht="12.75" customHeight="1" x14ac:dyDescent="0.2">
      <c r="A25" s="28" t="s">
        <v>18</v>
      </c>
      <c r="B25" s="67" t="s">
        <v>79</v>
      </c>
      <c r="C25" s="46"/>
      <c r="D25" s="36"/>
      <c r="E25" s="36"/>
      <c r="F25" s="36"/>
      <c r="G25" s="36"/>
      <c r="H25" s="36"/>
      <c r="I25" s="17">
        <f t="shared" si="1"/>
        <v>0</v>
      </c>
      <c r="J25" s="17"/>
      <c r="K25" s="17">
        <f t="shared" si="2"/>
        <v>0</v>
      </c>
      <c r="L25" s="17"/>
      <c r="M25" s="81">
        <f t="shared" si="3"/>
        <v>0</v>
      </c>
      <c r="N25" s="88"/>
      <c r="O25" s="17">
        <f t="shared" si="4"/>
        <v>0</v>
      </c>
      <c r="P25" s="17"/>
      <c r="Q25" s="17">
        <f t="shared" si="5"/>
        <v>0</v>
      </c>
      <c r="R25" s="17"/>
      <c r="S25" s="17">
        <f t="shared" si="6"/>
        <v>0</v>
      </c>
      <c r="T25" s="17"/>
      <c r="U25" s="81">
        <f t="shared" si="7"/>
        <v>0</v>
      </c>
      <c r="V25" s="88"/>
      <c r="W25" s="36"/>
      <c r="X25" s="17">
        <f t="shared" si="8"/>
        <v>0</v>
      </c>
      <c r="Y25" s="17"/>
      <c r="Z25" s="17"/>
      <c r="AA25" s="17"/>
      <c r="AB25" s="17">
        <f t="shared" si="9"/>
        <v>0</v>
      </c>
      <c r="AC25" s="17"/>
      <c r="AD25" s="81">
        <f t="shared" si="10"/>
        <v>0</v>
      </c>
      <c r="AE25" s="88"/>
      <c r="AF25" s="36"/>
      <c r="AG25" s="17">
        <f t="shared" si="11"/>
        <v>0</v>
      </c>
      <c r="AH25" s="17"/>
      <c r="AI25" s="17">
        <f t="shared" si="12"/>
        <v>0</v>
      </c>
      <c r="AJ25" s="17"/>
      <c r="AK25" s="81">
        <f t="shared" si="13"/>
        <v>0</v>
      </c>
      <c r="AL25" s="46"/>
      <c r="AM25" s="36"/>
      <c r="AN25" s="36"/>
      <c r="AO25" s="36"/>
      <c r="AP25" s="17">
        <f t="shared" si="14"/>
        <v>0</v>
      </c>
      <c r="AQ25" s="17"/>
      <c r="AR25" s="81">
        <f t="shared" si="15"/>
        <v>0</v>
      </c>
      <c r="AS25" s="88"/>
      <c r="AT25" s="17">
        <f t="shared" si="16"/>
        <v>0</v>
      </c>
      <c r="AU25" s="17"/>
      <c r="AV25" s="17"/>
      <c r="AW25" s="17"/>
      <c r="AX25" s="81">
        <f t="shared" si="17"/>
        <v>0</v>
      </c>
      <c r="AY25" s="46"/>
      <c r="AZ25" s="36"/>
      <c r="BA25" s="36"/>
      <c r="BB25" s="36"/>
      <c r="BC25" s="17">
        <f t="shared" si="18"/>
        <v>0</v>
      </c>
      <c r="BD25" s="17"/>
      <c r="BE25" s="17">
        <f t="shared" si="19"/>
        <v>0</v>
      </c>
      <c r="BF25" s="17"/>
      <c r="BG25" s="81">
        <f t="shared" si="20"/>
        <v>0</v>
      </c>
      <c r="BH25" s="47">
        <f t="shared" si="0"/>
        <v>0</v>
      </c>
      <c r="BI25" s="12">
        <f t="shared" si="21"/>
        <v>0</v>
      </c>
      <c r="BJ25" s="12">
        <f t="shared" si="22"/>
        <v>0</v>
      </c>
      <c r="BK25" s="113">
        <f t="shared" si="23"/>
        <v>0</v>
      </c>
      <c r="BL25" s="113">
        <f t="shared" si="24"/>
        <v>0</v>
      </c>
      <c r="BM25" s="113">
        <f t="shared" si="25"/>
        <v>0</v>
      </c>
      <c r="BN25" s="113">
        <f t="shared" si="26"/>
        <v>0</v>
      </c>
      <c r="BO25" s="113">
        <f t="shared" si="27"/>
        <v>0</v>
      </c>
      <c r="BP25" s="113">
        <f t="shared" si="28"/>
        <v>0</v>
      </c>
      <c r="BQ25" s="113">
        <f t="shared" si="29"/>
        <v>0</v>
      </c>
      <c r="BR25" s="113">
        <f t="shared" si="30"/>
        <v>0</v>
      </c>
    </row>
    <row r="26" spans="1:70" ht="12.75" customHeight="1" x14ac:dyDescent="0.2">
      <c r="A26" s="21" t="s">
        <v>19</v>
      </c>
      <c r="B26" s="65" t="s">
        <v>40</v>
      </c>
      <c r="C26" s="115"/>
      <c r="D26" s="17"/>
      <c r="E26" s="17"/>
      <c r="F26" s="17"/>
      <c r="G26" s="17"/>
      <c r="H26" s="17"/>
      <c r="I26" s="17">
        <f t="shared" si="1"/>
        <v>0</v>
      </c>
      <c r="J26" s="17"/>
      <c r="K26" s="17">
        <f t="shared" si="2"/>
        <v>0</v>
      </c>
      <c r="L26" s="17"/>
      <c r="M26" s="81">
        <f t="shared" si="3"/>
        <v>0</v>
      </c>
      <c r="N26" s="87"/>
      <c r="O26" s="17">
        <f t="shared" si="4"/>
        <v>0</v>
      </c>
      <c r="P26" s="17"/>
      <c r="Q26" s="17">
        <f t="shared" si="5"/>
        <v>0</v>
      </c>
      <c r="R26" s="17"/>
      <c r="S26" s="17">
        <f t="shared" si="6"/>
        <v>0</v>
      </c>
      <c r="T26" s="17"/>
      <c r="U26" s="81">
        <f t="shared" si="7"/>
        <v>0</v>
      </c>
      <c r="V26" s="87"/>
      <c r="W26" s="17"/>
      <c r="X26" s="17">
        <f t="shared" si="8"/>
        <v>0</v>
      </c>
      <c r="Y26" s="17"/>
      <c r="Z26" s="17"/>
      <c r="AA26" s="17"/>
      <c r="AB26" s="17">
        <f t="shared" si="9"/>
        <v>0</v>
      </c>
      <c r="AC26" s="17"/>
      <c r="AD26" s="81">
        <f t="shared" si="10"/>
        <v>0</v>
      </c>
      <c r="AE26" s="87"/>
      <c r="AF26" s="17"/>
      <c r="AG26" s="17">
        <f t="shared" si="11"/>
        <v>0</v>
      </c>
      <c r="AH26" s="17"/>
      <c r="AI26" s="17">
        <f t="shared" si="12"/>
        <v>0</v>
      </c>
      <c r="AJ26" s="17"/>
      <c r="AK26" s="81">
        <f t="shared" si="13"/>
        <v>0</v>
      </c>
      <c r="AL26" s="115"/>
      <c r="AM26" s="17"/>
      <c r="AN26" s="17"/>
      <c r="AO26" s="17"/>
      <c r="AP26" s="17">
        <f t="shared" si="14"/>
        <v>0</v>
      </c>
      <c r="AQ26" s="17"/>
      <c r="AR26" s="81">
        <f t="shared" si="15"/>
        <v>0</v>
      </c>
      <c r="AS26" s="87"/>
      <c r="AT26" s="17">
        <f t="shared" si="16"/>
        <v>0</v>
      </c>
      <c r="AU26" s="17"/>
      <c r="AV26" s="17"/>
      <c r="AW26" s="17"/>
      <c r="AX26" s="81">
        <f t="shared" si="17"/>
        <v>0</v>
      </c>
      <c r="AY26" s="115"/>
      <c r="AZ26" s="17"/>
      <c r="BA26" s="17"/>
      <c r="BB26" s="17"/>
      <c r="BC26" s="17">
        <f t="shared" si="18"/>
        <v>0</v>
      </c>
      <c r="BD26" s="17"/>
      <c r="BE26" s="17">
        <f t="shared" si="19"/>
        <v>0</v>
      </c>
      <c r="BF26" s="17"/>
      <c r="BG26" s="81">
        <f t="shared" si="20"/>
        <v>0</v>
      </c>
      <c r="BH26" s="47">
        <f t="shared" si="0"/>
        <v>0</v>
      </c>
      <c r="BI26" s="12">
        <f t="shared" si="21"/>
        <v>0</v>
      </c>
      <c r="BJ26" s="12">
        <f t="shared" si="22"/>
        <v>0</v>
      </c>
      <c r="BK26" s="113">
        <f t="shared" si="23"/>
        <v>0</v>
      </c>
      <c r="BL26" s="113">
        <f t="shared" si="24"/>
        <v>0</v>
      </c>
      <c r="BM26" s="113">
        <f t="shared" si="25"/>
        <v>0</v>
      </c>
      <c r="BN26" s="113">
        <f t="shared" si="26"/>
        <v>0</v>
      </c>
      <c r="BO26" s="113">
        <f t="shared" si="27"/>
        <v>0</v>
      </c>
      <c r="BP26" s="113">
        <f t="shared" si="28"/>
        <v>0</v>
      </c>
      <c r="BQ26" s="113">
        <f t="shared" si="29"/>
        <v>0</v>
      </c>
      <c r="BR26" s="113">
        <f t="shared" si="30"/>
        <v>0</v>
      </c>
    </row>
    <row r="27" spans="1:70" ht="12.75" customHeight="1" x14ac:dyDescent="0.2">
      <c r="A27" s="21" t="s">
        <v>20</v>
      </c>
      <c r="B27" s="65" t="s">
        <v>49</v>
      </c>
      <c r="C27" s="115">
        <v>10695940</v>
      </c>
      <c r="D27" s="17"/>
      <c r="E27" s="17">
        <v>10696</v>
      </c>
      <c r="F27" s="17">
        <v>44</v>
      </c>
      <c r="G27" s="17">
        <f>SUM(E27:F27)</f>
        <v>10740</v>
      </c>
      <c r="H27" s="17"/>
      <c r="I27" s="17">
        <f t="shared" si="1"/>
        <v>10740</v>
      </c>
      <c r="J27" s="17"/>
      <c r="K27" s="17">
        <f t="shared" si="2"/>
        <v>10740</v>
      </c>
      <c r="L27" s="17">
        <v>227</v>
      </c>
      <c r="M27" s="81">
        <f t="shared" si="3"/>
        <v>10967</v>
      </c>
      <c r="N27" s="87"/>
      <c r="O27" s="17">
        <f t="shared" si="4"/>
        <v>0</v>
      </c>
      <c r="P27" s="17"/>
      <c r="Q27" s="17">
        <f t="shared" si="5"/>
        <v>0</v>
      </c>
      <c r="R27" s="17"/>
      <c r="S27" s="17">
        <f t="shared" si="6"/>
        <v>0</v>
      </c>
      <c r="T27" s="17"/>
      <c r="U27" s="81">
        <f t="shared" si="7"/>
        <v>0</v>
      </c>
      <c r="V27" s="115">
        <v>500000</v>
      </c>
      <c r="W27" s="17"/>
      <c r="X27" s="17">
        <f t="shared" si="8"/>
        <v>500</v>
      </c>
      <c r="Y27" s="17">
        <v>99</v>
      </c>
      <c r="Z27" s="17">
        <v>599</v>
      </c>
      <c r="AA27" s="17"/>
      <c r="AB27" s="17">
        <f t="shared" si="9"/>
        <v>599</v>
      </c>
      <c r="AC27" s="17">
        <v>-72</v>
      </c>
      <c r="AD27" s="81">
        <f t="shared" si="10"/>
        <v>527</v>
      </c>
      <c r="AE27" s="115">
        <v>540000</v>
      </c>
      <c r="AF27" s="17"/>
      <c r="AG27" s="17">
        <v>540</v>
      </c>
      <c r="AH27" s="17">
        <v>5</v>
      </c>
      <c r="AI27" s="17">
        <f t="shared" si="12"/>
        <v>545</v>
      </c>
      <c r="AJ27" s="17">
        <v>-246</v>
      </c>
      <c r="AK27" s="81">
        <f t="shared" si="13"/>
        <v>299</v>
      </c>
      <c r="AL27" s="115">
        <v>80000</v>
      </c>
      <c r="AM27" s="17"/>
      <c r="AN27" s="17">
        <v>80</v>
      </c>
      <c r="AO27" s="17">
        <v>13</v>
      </c>
      <c r="AP27" s="17">
        <f t="shared" si="14"/>
        <v>93</v>
      </c>
      <c r="AQ27" s="17">
        <v>91</v>
      </c>
      <c r="AR27" s="81">
        <f t="shared" si="15"/>
        <v>184</v>
      </c>
      <c r="AS27" s="87"/>
      <c r="AT27" s="17">
        <f t="shared" si="16"/>
        <v>0</v>
      </c>
      <c r="AU27" s="17"/>
      <c r="AV27" s="17"/>
      <c r="AW27" s="17"/>
      <c r="AX27" s="81">
        <f t="shared" si="17"/>
        <v>0</v>
      </c>
      <c r="AY27" s="115">
        <v>0</v>
      </c>
      <c r="AZ27" s="17"/>
      <c r="BA27" s="17"/>
      <c r="BB27" s="17"/>
      <c r="BC27" s="17">
        <f t="shared" si="18"/>
        <v>0</v>
      </c>
      <c r="BD27" s="17"/>
      <c r="BE27" s="17">
        <f t="shared" si="19"/>
        <v>0</v>
      </c>
      <c r="BF27" s="17"/>
      <c r="BG27" s="81">
        <f t="shared" si="20"/>
        <v>0</v>
      </c>
      <c r="BH27" s="47">
        <f t="shared" si="0"/>
        <v>11815940</v>
      </c>
      <c r="BI27" s="12">
        <f t="shared" si="21"/>
        <v>0</v>
      </c>
      <c r="BJ27" s="12">
        <f t="shared" si="22"/>
        <v>11816</v>
      </c>
      <c r="BK27" s="113">
        <f t="shared" si="23"/>
        <v>161</v>
      </c>
      <c r="BL27" s="113">
        <f t="shared" si="24"/>
        <v>11977</v>
      </c>
      <c r="BM27" s="113">
        <f t="shared" si="25"/>
        <v>0</v>
      </c>
      <c r="BN27" s="113">
        <f t="shared" si="26"/>
        <v>11977</v>
      </c>
      <c r="BO27" s="113">
        <f t="shared" si="27"/>
        <v>0</v>
      </c>
      <c r="BP27" s="113">
        <f t="shared" si="28"/>
        <v>11977</v>
      </c>
      <c r="BQ27" s="113">
        <f t="shared" si="29"/>
        <v>0</v>
      </c>
      <c r="BR27" s="113">
        <f t="shared" si="30"/>
        <v>11977</v>
      </c>
    </row>
    <row r="28" spans="1:70" ht="12.75" customHeight="1" x14ac:dyDescent="0.2">
      <c r="A28" s="21" t="s">
        <v>21</v>
      </c>
      <c r="B28" s="65" t="s">
        <v>50</v>
      </c>
      <c r="C28" s="115"/>
      <c r="D28" s="17"/>
      <c r="E28" s="17"/>
      <c r="F28" s="17"/>
      <c r="G28" s="17">
        <f t="shared" ref="G28:G38" si="34">SUM(E28:F28)</f>
        <v>0</v>
      </c>
      <c r="H28" s="17"/>
      <c r="I28" s="17">
        <f t="shared" si="1"/>
        <v>0</v>
      </c>
      <c r="J28" s="17"/>
      <c r="K28" s="17">
        <f t="shared" si="2"/>
        <v>0</v>
      </c>
      <c r="L28" s="17"/>
      <c r="M28" s="81">
        <f t="shared" si="3"/>
        <v>0</v>
      </c>
      <c r="N28" s="87"/>
      <c r="O28" s="17">
        <f t="shared" si="4"/>
        <v>0</v>
      </c>
      <c r="P28" s="17"/>
      <c r="Q28" s="17">
        <f t="shared" si="5"/>
        <v>0</v>
      </c>
      <c r="R28" s="17"/>
      <c r="S28" s="17">
        <f t="shared" si="6"/>
        <v>0</v>
      </c>
      <c r="T28" s="17"/>
      <c r="U28" s="81">
        <f t="shared" si="7"/>
        <v>0</v>
      </c>
      <c r="V28" s="87"/>
      <c r="W28" s="17"/>
      <c r="X28" s="17">
        <f t="shared" si="8"/>
        <v>0</v>
      </c>
      <c r="Y28" s="17"/>
      <c r="Z28" s="17"/>
      <c r="AA28" s="17"/>
      <c r="AB28" s="17">
        <f t="shared" si="9"/>
        <v>0</v>
      </c>
      <c r="AC28" s="17"/>
      <c r="AD28" s="81">
        <f t="shared" si="10"/>
        <v>0</v>
      </c>
      <c r="AE28" s="115"/>
      <c r="AF28" s="17"/>
      <c r="AG28" s="17">
        <f t="shared" si="11"/>
        <v>0</v>
      </c>
      <c r="AH28" s="17"/>
      <c r="AI28" s="17">
        <f t="shared" si="12"/>
        <v>0</v>
      </c>
      <c r="AJ28" s="17"/>
      <c r="AK28" s="81">
        <f t="shared" si="13"/>
        <v>0</v>
      </c>
      <c r="AL28" s="115"/>
      <c r="AM28" s="17"/>
      <c r="AN28" s="17"/>
      <c r="AO28" s="17"/>
      <c r="AP28" s="17">
        <f t="shared" si="14"/>
        <v>0</v>
      </c>
      <c r="AQ28" s="17"/>
      <c r="AR28" s="81">
        <f t="shared" si="15"/>
        <v>0</v>
      </c>
      <c r="AS28" s="87"/>
      <c r="AT28" s="17">
        <f t="shared" si="16"/>
        <v>0</v>
      </c>
      <c r="AU28" s="17"/>
      <c r="AV28" s="17"/>
      <c r="AW28" s="17"/>
      <c r="AX28" s="81">
        <f t="shared" si="17"/>
        <v>0</v>
      </c>
      <c r="AY28" s="115"/>
      <c r="AZ28" s="17"/>
      <c r="BA28" s="17"/>
      <c r="BB28" s="17"/>
      <c r="BC28" s="17">
        <f t="shared" si="18"/>
        <v>0</v>
      </c>
      <c r="BD28" s="17"/>
      <c r="BE28" s="17">
        <f t="shared" si="19"/>
        <v>0</v>
      </c>
      <c r="BF28" s="17"/>
      <c r="BG28" s="81">
        <f t="shared" si="20"/>
        <v>0</v>
      </c>
      <c r="BH28" s="47">
        <f t="shared" si="0"/>
        <v>0</v>
      </c>
      <c r="BI28" s="12">
        <f t="shared" si="21"/>
        <v>0</v>
      </c>
      <c r="BJ28" s="12">
        <f t="shared" si="22"/>
        <v>0</v>
      </c>
      <c r="BK28" s="113">
        <f t="shared" si="23"/>
        <v>0</v>
      </c>
      <c r="BL28" s="113">
        <f t="shared" si="24"/>
        <v>0</v>
      </c>
      <c r="BM28" s="113">
        <f t="shared" si="25"/>
        <v>0</v>
      </c>
      <c r="BN28" s="113">
        <f t="shared" si="26"/>
        <v>0</v>
      </c>
      <c r="BO28" s="113">
        <f t="shared" si="27"/>
        <v>0</v>
      </c>
      <c r="BP28" s="113">
        <f t="shared" si="28"/>
        <v>0</v>
      </c>
      <c r="BQ28" s="113">
        <f t="shared" si="29"/>
        <v>0</v>
      </c>
      <c r="BR28" s="113">
        <f t="shared" si="30"/>
        <v>0</v>
      </c>
    </row>
    <row r="29" spans="1:70" s="7" customFormat="1" ht="12.75" customHeight="1" x14ac:dyDescent="0.2">
      <c r="A29" s="20" t="s">
        <v>22</v>
      </c>
      <c r="B29" s="68" t="s">
        <v>51</v>
      </c>
      <c r="C29" s="90">
        <f>C24+C25+C26+C27+C28</f>
        <v>10695940</v>
      </c>
      <c r="D29" s="34">
        <f t="shared" ref="D29:BA29" si="35">D24+D25+D26+D27+D28</f>
        <v>0</v>
      </c>
      <c r="E29" s="34">
        <f t="shared" si="35"/>
        <v>10696</v>
      </c>
      <c r="F29" s="34">
        <v>44</v>
      </c>
      <c r="G29" s="17">
        <f t="shared" si="34"/>
        <v>10740</v>
      </c>
      <c r="H29" s="17"/>
      <c r="I29" s="17">
        <f t="shared" si="1"/>
        <v>10740</v>
      </c>
      <c r="J29" s="17">
        <v>1484</v>
      </c>
      <c r="K29" s="17">
        <f t="shared" si="2"/>
        <v>12224</v>
      </c>
      <c r="L29" s="17">
        <v>227</v>
      </c>
      <c r="M29" s="81">
        <f t="shared" si="3"/>
        <v>12451</v>
      </c>
      <c r="N29" s="89"/>
      <c r="O29" s="17">
        <f t="shared" si="4"/>
        <v>0</v>
      </c>
      <c r="P29" s="17"/>
      <c r="Q29" s="17">
        <f t="shared" si="5"/>
        <v>0</v>
      </c>
      <c r="R29" s="17"/>
      <c r="S29" s="17">
        <f t="shared" si="6"/>
        <v>0</v>
      </c>
      <c r="T29" s="17"/>
      <c r="U29" s="81">
        <f t="shared" si="7"/>
        <v>0</v>
      </c>
      <c r="V29" s="90">
        <f>V24+V25+V26+V27+V28</f>
        <v>500000</v>
      </c>
      <c r="W29" s="34">
        <f t="shared" si="35"/>
        <v>0</v>
      </c>
      <c r="X29" s="17">
        <v>500</v>
      </c>
      <c r="Y29" s="17">
        <v>99</v>
      </c>
      <c r="Z29" s="17">
        <v>599</v>
      </c>
      <c r="AA29" s="17"/>
      <c r="AB29" s="17">
        <f t="shared" si="9"/>
        <v>599</v>
      </c>
      <c r="AC29" s="17">
        <f>SUM(AC27)</f>
        <v>-72</v>
      </c>
      <c r="AD29" s="81">
        <f t="shared" si="10"/>
        <v>527</v>
      </c>
      <c r="AE29" s="90">
        <f>AE24+AE25+AE26+AE27+AE28</f>
        <v>540000</v>
      </c>
      <c r="AF29" s="34">
        <f t="shared" si="35"/>
        <v>0</v>
      </c>
      <c r="AG29" s="17">
        <v>540</v>
      </c>
      <c r="AH29" s="17">
        <v>5</v>
      </c>
      <c r="AI29" s="17">
        <f t="shared" si="12"/>
        <v>545</v>
      </c>
      <c r="AJ29" s="17">
        <v>-246</v>
      </c>
      <c r="AK29" s="81">
        <f t="shared" si="13"/>
        <v>299</v>
      </c>
      <c r="AL29" s="90">
        <f>AL24+AL25+AL26+AL27+AL28</f>
        <v>80000</v>
      </c>
      <c r="AM29" s="34">
        <f t="shared" si="35"/>
        <v>0</v>
      </c>
      <c r="AN29" s="34">
        <f t="shared" si="35"/>
        <v>80</v>
      </c>
      <c r="AO29" s="34">
        <v>13</v>
      </c>
      <c r="AP29" s="17">
        <f t="shared" si="14"/>
        <v>93</v>
      </c>
      <c r="AQ29" s="17">
        <v>91</v>
      </c>
      <c r="AR29" s="81">
        <f t="shared" si="15"/>
        <v>184</v>
      </c>
      <c r="AS29" s="89"/>
      <c r="AT29" s="17">
        <f t="shared" si="16"/>
        <v>0</v>
      </c>
      <c r="AU29" s="17"/>
      <c r="AV29" s="17"/>
      <c r="AW29" s="17"/>
      <c r="AX29" s="81">
        <f t="shared" si="17"/>
        <v>0</v>
      </c>
      <c r="AY29" s="90">
        <f t="shared" si="35"/>
        <v>1169069</v>
      </c>
      <c r="AZ29" s="34">
        <f t="shared" si="35"/>
        <v>1878</v>
      </c>
      <c r="BA29" s="34">
        <f t="shared" si="35"/>
        <v>3048</v>
      </c>
      <c r="BB29" s="34">
        <v>2818</v>
      </c>
      <c r="BC29" s="17">
        <f t="shared" si="18"/>
        <v>5866</v>
      </c>
      <c r="BD29" s="17"/>
      <c r="BE29" s="17">
        <f t="shared" si="19"/>
        <v>5866</v>
      </c>
      <c r="BF29" s="17"/>
      <c r="BG29" s="81">
        <f t="shared" si="20"/>
        <v>5866</v>
      </c>
      <c r="BH29" s="48">
        <f t="shared" si="0"/>
        <v>12985009</v>
      </c>
      <c r="BI29" s="12">
        <f t="shared" si="21"/>
        <v>1878</v>
      </c>
      <c r="BJ29" s="12">
        <v>14863</v>
      </c>
      <c r="BK29" s="113">
        <f t="shared" si="23"/>
        <v>161</v>
      </c>
      <c r="BL29" s="113">
        <f t="shared" si="24"/>
        <v>15024</v>
      </c>
      <c r="BM29" s="113">
        <f t="shared" si="25"/>
        <v>2818</v>
      </c>
      <c r="BN29" s="113">
        <f t="shared" si="26"/>
        <v>17842</v>
      </c>
      <c r="BO29" s="113">
        <f t="shared" si="27"/>
        <v>1484</v>
      </c>
      <c r="BP29" s="113">
        <f t="shared" si="28"/>
        <v>19326</v>
      </c>
      <c r="BQ29" s="113">
        <f t="shared" si="29"/>
        <v>0</v>
      </c>
      <c r="BR29" s="113">
        <f t="shared" si="30"/>
        <v>19326</v>
      </c>
    </row>
    <row r="30" spans="1:70" ht="12.75" customHeight="1" x14ac:dyDescent="0.2">
      <c r="A30" s="21" t="s">
        <v>23</v>
      </c>
      <c r="B30" s="65" t="s">
        <v>80</v>
      </c>
      <c r="C30" s="115"/>
      <c r="D30" s="17"/>
      <c r="E30" s="17"/>
      <c r="F30" s="17"/>
      <c r="G30" s="17">
        <f t="shared" si="34"/>
        <v>0</v>
      </c>
      <c r="H30" s="17"/>
      <c r="I30" s="17">
        <f t="shared" si="1"/>
        <v>0</v>
      </c>
      <c r="J30" s="17"/>
      <c r="K30" s="17">
        <f t="shared" si="2"/>
        <v>0</v>
      </c>
      <c r="L30" s="17"/>
      <c r="M30" s="81">
        <f t="shared" si="3"/>
        <v>0</v>
      </c>
      <c r="N30" s="87"/>
      <c r="O30" s="17">
        <f t="shared" si="4"/>
        <v>0</v>
      </c>
      <c r="P30" s="17"/>
      <c r="Q30" s="17">
        <f t="shared" si="5"/>
        <v>0</v>
      </c>
      <c r="R30" s="17"/>
      <c r="S30" s="17">
        <f t="shared" si="6"/>
        <v>0</v>
      </c>
      <c r="T30" s="17"/>
      <c r="U30" s="81">
        <f t="shared" si="7"/>
        <v>0</v>
      </c>
      <c r="V30" s="87"/>
      <c r="W30" s="17"/>
      <c r="X30" s="17">
        <f t="shared" si="8"/>
        <v>0</v>
      </c>
      <c r="Y30" s="17"/>
      <c r="Z30" s="17"/>
      <c r="AA30" s="17"/>
      <c r="AB30" s="17">
        <f t="shared" si="9"/>
        <v>0</v>
      </c>
      <c r="AC30" s="17"/>
      <c r="AD30" s="81">
        <f t="shared" si="10"/>
        <v>0</v>
      </c>
      <c r="AE30" s="115"/>
      <c r="AF30" s="17"/>
      <c r="AG30" s="17">
        <f t="shared" si="11"/>
        <v>0</v>
      </c>
      <c r="AH30" s="17"/>
      <c r="AI30" s="17">
        <f t="shared" si="12"/>
        <v>0</v>
      </c>
      <c r="AJ30" s="17"/>
      <c r="AK30" s="81">
        <f t="shared" si="13"/>
        <v>0</v>
      </c>
      <c r="AL30" s="115"/>
      <c r="AM30" s="17"/>
      <c r="AN30" s="17"/>
      <c r="AO30" s="17"/>
      <c r="AP30" s="17">
        <f t="shared" si="14"/>
        <v>0</v>
      </c>
      <c r="AQ30" s="17"/>
      <c r="AR30" s="81">
        <f t="shared" si="15"/>
        <v>0</v>
      </c>
      <c r="AS30" s="87"/>
      <c r="AT30" s="17">
        <f t="shared" si="16"/>
        <v>0</v>
      </c>
      <c r="AU30" s="17"/>
      <c r="AV30" s="17"/>
      <c r="AW30" s="17"/>
      <c r="AX30" s="81">
        <f t="shared" si="17"/>
        <v>0</v>
      </c>
      <c r="AY30" s="115"/>
      <c r="AZ30" s="17"/>
      <c r="BA30" s="17"/>
      <c r="BB30" s="17"/>
      <c r="BC30" s="17">
        <f t="shared" si="18"/>
        <v>0</v>
      </c>
      <c r="BD30" s="17"/>
      <c r="BE30" s="17">
        <f t="shared" si="19"/>
        <v>0</v>
      </c>
      <c r="BF30" s="17"/>
      <c r="BG30" s="81">
        <f t="shared" si="20"/>
        <v>0</v>
      </c>
      <c r="BH30" s="47">
        <f t="shared" si="0"/>
        <v>0</v>
      </c>
      <c r="BI30" s="12">
        <f t="shared" si="21"/>
        <v>0</v>
      </c>
      <c r="BJ30" s="12">
        <f t="shared" si="22"/>
        <v>0</v>
      </c>
      <c r="BK30" s="113">
        <f t="shared" si="23"/>
        <v>0</v>
      </c>
      <c r="BL30" s="113">
        <f t="shared" si="24"/>
        <v>0</v>
      </c>
      <c r="BM30" s="113">
        <f t="shared" si="25"/>
        <v>0</v>
      </c>
      <c r="BN30" s="113">
        <f t="shared" si="26"/>
        <v>0</v>
      </c>
      <c r="BO30" s="113">
        <f t="shared" si="27"/>
        <v>0</v>
      </c>
      <c r="BP30" s="113">
        <f t="shared" si="28"/>
        <v>0</v>
      </c>
      <c r="BQ30" s="113">
        <f t="shared" si="29"/>
        <v>0</v>
      </c>
      <c r="BR30" s="113">
        <f t="shared" si="30"/>
        <v>0</v>
      </c>
    </row>
    <row r="31" spans="1:70" ht="12.75" customHeight="1" x14ac:dyDescent="0.2">
      <c r="A31" s="21" t="s">
        <v>24</v>
      </c>
      <c r="B31" s="65" t="s">
        <v>52</v>
      </c>
      <c r="C31" s="115"/>
      <c r="D31" s="17"/>
      <c r="E31" s="17"/>
      <c r="F31" s="17"/>
      <c r="G31" s="17">
        <f t="shared" si="34"/>
        <v>0</v>
      </c>
      <c r="H31" s="17"/>
      <c r="I31" s="17">
        <f t="shared" si="1"/>
        <v>0</v>
      </c>
      <c r="J31" s="17"/>
      <c r="K31" s="17">
        <f t="shared" si="2"/>
        <v>0</v>
      </c>
      <c r="L31" s="17"/>
      <c r="M31" s="81">
        <f t="shared" si="3"/>
        <v>0</v>
      </c>
      <c r="N31" s="87"/>
      <c r="O31" s="17">
        <f t="shared" si="4"/>
        <v>0</v>
      </c>
      <c r="P31" s="17"/>
      <c r="Q31" s="17">
        <f t="shared" si="5"/>
        <v>0</v>
      </c>
      <c r="R31" s="17"/>
      <c r="S31" s="17">
        <f t="shared" si="6"/>
        <v>0</v>
      </c>
      <c r="T31" s="17"/>
      <c r="U31" s="81">
        <f t="shared" si="7"/>
        <v>0</v>
      </c>
      <c r="V31" s="87"/>
      <c r="W31" s="17"/>
      <c r="X31" s="17">
        <f t="shared" si="8"/>
        <v>0</v>
      </c>
      <c r="Y31" s="17"/>
      <c r="Z31" s="17"/>
      <c r="AA31" s="17"/>
      <c r="AB31" s="17">
        <f t="shared" si="9"/>
        <v>0</v>
      </c>
      <c r="AC31" s="17"/>
      <c r="AD31" s="81">
        <f t="shared" si="10"/>
        <v>0</v>
      </c>
      <c r="AE31" s="115"/>
      <c r="AF31" s="17"/>
      <c r="AG31" s="17">
        <f t="shared" si="11"/>
        <v>0</v>
      </c>
      <c r="AH31" s="17"/>
      <c r="AI31" s="17">
        <f t="shared" si="12"/>
        <v>0</v>
      </c>
      <c r="AJ31" s="17"/>
      <c r="AK31" s="81">
        <f t="shared" si="13"/>
        <v>0</v>
      </c>
      <c r="AL31" s="115"/>
      <c r="AM31" s="17"/>
      <c r="AN31" s="17"/>
      <c r="AO31" s="17"/>
      <c r="AP31" s="17">
        <f t="shared" si="14"/>
        <v>0</v>
      </c>
      <c r="AQ31" s="17"/>
      <c r="AR31" s="81">
        <f t="shared" si="15"/>
        <v>0</v>
      </c>
      <c r="AS31" s="87"/>
      <c r="AT31" s="17">
        <f t="shared" si="16"/>
        <v>0</v>
      </c>
      <c r="AU31" s="17"/>
      <c r="AV31" s="17"/>
      <c r="AW31" s="17"/>
      <c r="AX31" s="81">
        <f t="shared" si="17"/>
        <v>0</v>
      </c>
      <c r="AY31" s="115"/>
      <c r="AZ31" s="17"/>
      <c r="BA31" s="17"/>
      <c r="BB31" s="17"/>
      <c r="BC31" s="17">
        <f t="shared" si="18"/>
        <v>0</v>
      </c>
      <c r="BD31" s="17"/>
      <c r="BE31" s="17">
        <f t="shared" si="19"/>
        <v>0</v>
      </c>
      <c r="BF31" s="17"/>
      <c r="BG31" s="81">
        <f t="shared" si="20"/>
        <v>0</v>
      </c>
      <c r="BH31" s="47">
        <f t="shared" si="0"/>
        <v>0</v>
      </c>
      <c r="BI31" s="12">
        <f t="shared" si="21"/>
        <v>0</v>
      </c>
      <c r="BJ31" s="12">
        <f t="shared" si="22"/>
        <v>0</v>
      </c>
      <c r="BK31" s="113">
        <f t="shared" si="23"/>
        <v>0</v>
      </c>
      <c r="BL31" s="113">
        <f t="shared" si="24"/>
        <v>0</v>
      </c>
      <c r="BM31" s="113">
        <f t="shared" si="25"/>
        <v>0</v>
      </c>
      <c r="BN31" s="113">
        <f t="shared" si="26"/>
        <v>0</v>
      </c>
      <c r="BO31" s="113">
        <f t="shared" si="27"/>
        <v>0</v>
      </c>
      <c r="BP31" s="113">
        <f t="shared" si="28"/>
        <v>0</v>
      </c>
      <c r="BQ31" s="113">
        <f t="shared" si="29"/>
        <v>0</v>
      </c>
      <c r="BR31" s="113">
        <f t="shared" si="30"/>
        <v>0</v>
      </c>
    </row>
    <row r="32" spans="1:70" s="7" customFormat="1" ht="12.75" customHeight="1" x14ac:dyDescent="0.2">
      <c r="A32" s="21" t="s">
        <v>25</v>
      </c>
      <c r="B32" s="65" t="s">
        <v>53</v>
      </c>
      <c r="C32" s="115"/>
      <c r="D32" s="17"/>
      <c r="E32" s="17"/>
      <c r="F32" s="17"/>
      <c r="G32" s="17">
        <f t="shared" si="34"/>
        <v>0</v>
      </c>
      <c r="H32" s="17"/>
      <c r="I32" s="17">
        <f t="shared" si="1"/>
        <v>0</v>
      </c>
      <c r="J32" s="17"/>
      <c r="K32" s="17">
        <f t="shared" si="2"/>
        <v>0</v>
      </c>
      <c r="L32" s="17"/>
      <c r="M32" s="81">
        <f t="shared" si="3"/>
        <v>0</v>
      </c>
      <c r="N32" s="87"/>
      <c r="O32" s="17">
        <f t="shared" si="4"/>
        <v>0</v>
      </c>
      <c r="P32" s="17"/>
      <c r="Q32" s="17">
        <f t="shared" si="5"/>
        <v>0</v>
      </c>
      <c r="R32" s="17"/>
      <c r="S32" s="17">
        <f t="shared" si="6"/>
        <v>0</v>
      </c>
      <c r="T32" s="17"/>
      <c r="U32" s="81">
        <f t="shared" si="7"/>
        <v>0</v>
      </c>
      <c r="V32" s="87"/>
      <c r="W32" s="17"/>
      <c r="X32" s="17">
        <f t="shared" si="8"/>
        <v>0</v>
      </c>
      <c r="Y32" s="17"/>
      <c r="Z32" s="17"/>
      <c r="AA32" s="17"/>
      <c r="AB32" s="17">
        <f t="shared" si="9"/>
        <v>0</v>
      </c>
      <c r="AC32" s="17"/>
      <c r="AD32" s="81">
        <f t="shared" si="10"/>
        <v>0</v>
      </c>
      <c r="AE32" s="115"/>
      <c r="AF32" s="17"/>
      <c r="AG32" s="17">
        <f t="shared" si="11"/>
        <v>0</v>
      </c>
      <c r="AH32" s="17"/>
      <c r="AI32" s="17">
        <f t="shared" si="12"/>
        <v>0</v>
      </c>
      <c r="AJ32" s="17"/>
      <c r="AK32" s="81">
        <f t="shared" si="13"/>
        <v>0</v>
      </c>
      <c r="AL32" s="115"/>
      <c r="AM32" s="17"/>
      <c r="AN32" s="17"/>
      <c r="AO32" s="17"/>
      <c r="AP32" s="17">
        <f t="shared" si="14"/>
        <v>0</v>
      </c>
      <c r="AQ32" s="17"/>
      <c r="AR32" s="81">
        <f t="shared" si="15"/>
        <v>0</v>
      </c>
      <c r="AS32" s="87"/>
      <c r="AT32" s="17">
        <f t="shared" si="16"/>
        <v>0</v>
      </c>
      <c r="AU32" s="17"/>
      <c r="AV32" s="17"/>
      <c r="AW32" s="17"/>
      <c r="AX32" s="81">
        <f t="shared" si="17"/>
        <v>0</v>
      </c>
      <c r="AY32" s="115"/>
      <c r="AZ32" s="17"/>
      <c r="BA32" s="17"/>
      <c r="BB32" s="17"/>
      <c r="BC32" s="17">
        <f t="shared" si="18"/>
        <v>0</v>
      </c>
      <c r="BD32" s="17"/>
      <c r="BE32" s="17">
        <f t="shared" si="19"/>
        <v>0</v>
      </c>
      <c r="BF32" s="17"/>
      <c r="BG32" s="81">
        <f t="shared" si="20"/>
        <v>0</v>
      </c>
      <c r="BH32" s="47">
        <f t="shared" si="0"/>
        <v>0</v>
      </c>
      <c r="BI32" s="12">
        <f t="shared" si="21"/>
        <v>0</v>
      </c>
      <c r="BJ32" s="12">
        <f t="shared" si="22"/>
        <v>0</v>
      </c>
      <c r="BK32" s="113">
        <f t="shared" si="23"/>
        <v>0</v>
      </c>
      <c r="BL32" s="113">
        <f t="shared" si="24"/>
        <v>0</v>
      </c>
      <c r="BM32" s="113">
        <f t="shared" si="25"/>
        <v>0</v>
      </c>
      <c r="BN32" s="113">
        <f t="shared" si="26"/>
        <v>0</v>
      </c>
      <c r="BO32" s="113">
        <f t="shared" si="27"/>
        <v>0</v>
      </c>
      <c r="BP32" s="113">
        <f t="shared" si="28"/>
        <v>0</v>
      </c>
      <c r="BQ32" s="113">
        <f t="shared" si="29"/>
        <v>0</v>
      </c>
      <c r="BR32" s="113">
        <f t="shared" si="30"/>
        <v>0</v>
      </c>
    </row>
    <row r="33" spans="1:79" s="7" customFormat="1" ht="12.75" customHeight="1" x14ac:dyDescent="0.2">
      <c r="A33" s="20" t="s">
        <v>26</v>
      </c>
      <c r="B33" s="68" t="s">
        <v>54</v>
      </c>
      <c r="C33" s="90">
        <f>C30+C31+C32</f>
        <v>0</v>
      </c>
      <c r="D33" s="34">
        <f t="shared" ref="D33:BA33" si="36">D30+D31+D32</f>
        <v>0</v>
      </c>
      <c r="E33" s="34">
        <f t="shared" si="36"/>
        <v>0</v>
      </c>
      <c r="F33" s="34"/>
      <c r="G33" s="17">
        <f t="shared" si="34"/>
        <v>0</v>
      </c>
      <c r="H33" s="17"/>
      <c r="I33" s="17">
        <f t="shared" si="1"/>
        <v>0</v>
      </c>
      <c r="J33" s="17"/>
      <c r="K33" s="17">
        <f t="shared" si="2"/>
        <v>0</v>
      </c>
      <c r="L33" s="17"/>
      <c r="M33" s="81">
        <f t="shared" si="3"/>
        <v>0</v>
      </c>
      <c r="N33" s="89"/>
      <c r="O33" s="17">
        <f t="shared" si="4"/>
        <v>0</v>
      </c>
      <c r="P33" s="17"/>
      <c r="Q33" s="17">
        <f t="shared" si="5"/>
        <v>0</v>
      </c>
      <c r="R33" s="17"/>
      <c r="S33" s="17">
        <f t="shared" si="6"/>
        <v>0</v>
      </c>
      <c r="T33" s="17"/>
      <c r="U33" s="81">
        <f t="shared" si="7"/>
        <v>0</v>
      </c>
      <c r="V33" s="89">
        <f t="shared" si="36"/>
        <v>0</v>
      </c>
      <c r="W33" s="34">
        <f t="shared" si="36"/>
        <v>0</v>
      </c>
      <c r="X33" s="17">
        <f t="shared" si="8"/>
        <v>0</v>
      </c>
      <c r="Y33" s="17"/>
      <c r="Z33" s="17"/>
      <c r="AA33" s="17"/>
      <c r="AB33" s="17">
        <f t="shared" si="9"/>
        <v>0</v>
      </c>
      <c r="AC33" s="17"/>
      <c r="AD33" s="81">
        <f t="shared" si="10"/>
        <v>0</v>
      </c>
      <c r="AE33" s="90">
        <f t="shared" si="36"/>
        <v>0</v>
      </c>
      <c r="AF33" s="34">
        <f t="shared" si="36"/>
        <v>0</v>
      </c>
      <c r="AG33" s="17">
        <f t="shared" si="11"/>
        <v>0</v>
      </c>
      <c r="AH33" s="17"/>
      <c r="AI33" s="17">
        <f t="shared" si="12"/>
        <v>0</v>
      </c>
      <c r="AJ33" s="17"/>
      <c r="AK33" s="81">
        <f t="shared" si="13"/>
        <v>0</v>
      </c>
      <c r="AL33" s="90">
        <f t="shared" si="36"/>
        <v>0</v>
      </c>
      <c r="AM33" s="34">
        <f t="shared" si="36"/>
        <v>0</v>
      </c>
      <c r="AN33" s="34">
        <f t="shared" si="36"/>
        <v>0</v>
      </c>
      <c r="AO33" s="34"/>
      <c r="AP33" s="17">
        <f t="shared" si="14"/>
        <v>0</v>
      </c>
      <c r="AQ33" s="17"/>
      <c r="AR33" s="81">
        <f t="shared" si="15"/>
        <v>0</v>
      </c>
      <c r="AS33" s="89"/>
      <c r="AT33" s="17">
        <f t="shared" si="16"/>
        <v>0</v>
      </c>
      <c r="AU33" s="17"/>
      <c r="AV33" s="17"/>
      <c r="AW33" s="17"/>
      <c r="AX33" s="81">
        <f t="shared" si="17"/>
        <v>0</v>
      </c>
      <c r="AY33" s="90">
        <f t="shared" si="36"/>
        <v>0</v>
      </c>
      <c r="AZ33" s="34">
        <f t="shared" si="36"/>
        <v>0</v>
      </c>
      <c r="BA33" s="34">
        <f t="shared" si="36"/>
        <v>0</v>
      </c>
      <c r="BB33" s="34"/>
      <c r="BC33" s="17">
        <f t="shared" si="18"/>
        <v>0</v>
      </c>
      <c r="BD33" s="17"/>
      <c r="BE33" s="17">
        <f t="shared" si="19"/>
        <v>0</v>
      </c>
      <c r="BF33" s="17"/>
      <c r="BG33" s="81">
        <f t="shared" si="20"/>
        <v>0</v>
      </c>
      <c r="BH33" s="48">
        <f t="shared" si="0"/>
        <v>0</v>
      </c>
      <c r="BI33" s="12">
        <f t="shared" si="21"/>
        <v>0</v>
      </c>
      <c r="BJ33" s="12">
        <f t="shared" si="22"/>
        <v>0</v>
      </c>
      <c r="BK33" s="113">
        <f t="shared" si="23"/>
        <v>0</v>
      </c>
      <c r="BL33" s="113">
        <f t="shared" si="24"/>
        <v>0</v>
      </c>
      <c r="BM33" s="113">
        <f t="shared" si="25"/>
        <v>0</v>
      </c>
      <c r="BN33" s="113">
        <f t="shared" si="26"/>
        <v>0</v>
      </c>
      <c r="BO33" s="113">
        <f t="shared" si="27"/>
        <v>0</v>
      </c>
      <c r="BP33" s="113">
        <f t="shared" si="28"/>
        <v>0</v>
      </c>
      <c r="BQ33" s="113">
        <f t="shared" si="29"/>
        <v>0</v>
      </c>
      <c r="BR33" s="113">
        <f t="shared" si="30"/>
        <v>0</v>
      </c>
    </row>
    <row r="34" spans="1:79" s="7" customFormat="1" ht="12.75" customHeight="1" x14ac:dyDescent="0.2">
      <c r="A34" s="20" t="s">
        <v>27</v>
      </c>
      <c r="B34" s="68" t="s">
        <v>74</v>
      </c>
      <c r="C34" s="90">
        <f>C35+C36+C37</f>
        <v>50812414</v>
      </c>
      <c r="D34" s="26">
        <v>-21324000</v>
      </c>
      <c r="E34" s="26">
        <v>29488000</v>
      </c>
      <c r="F34" s="34">
        <v>3214</v>
      </c>
      <c r="G34" s="17">
        <v>32702</v>
      </c>
      <c r="H34" s="17">
        <v>3154</v>
      </c>
      <c r="I34" s="17">
        <f t="shared" si="1"/>
        <v>35856</v>
      </c>
      <c r="J34" s="17">
        <v>3104</v>
      </c>
      <c r="K34" s="17">
        <f t="shared" si="2"/>
        <v>38960</v>
      </c>
      <c r="L34" s="17">
        <v>-6128</v>
      </c>
      <c r="M34" s="81">
        <f t="shared" si="3"/>
        <v>32832</v>
      </c>
      <c r="N34" s="90">
        <v>22629000</v>
      </c>
      <c r="O34" s="17">
        <v>22629</v>
      </c>
      <c r="P34" s="17">
        <v>-3214</v>
      </c>
      <c r="Q34" s="17">
        <f t="shared" si="5"/>
        <v>19415</v>
      </c>
      <c r="R34" s="17">
        <v>-3214</v>
      </c>
      <c r="S34" s="17">
        <f t="shared" si="6"/>
        <v>16201</v>
      </c>
      <c r="T34" s="17">
        <v>5595</v>
      </c>
      <c r="U34" s="81">
        <f t="shared" si="7"/>
        <v>21796</v>
      </c>
      <c r="V34" s="90">
        <f t="shared" ref="V34:BA34" si="37">V35+V36+V37</f>
        <v>17626338</v>
      </c>
      <c r="W34" s="95" t="s">
        <v>149</v>
      </c>
      <c r="X34" s="17">
        <v>18853</v>
      </c>
      <c r="Y34" s="17">
        <v>0</v>
      </c>
      <c r="Z34" s="17">
        <v>18952</v>
      </c>
      <c r="AA34" s="17">
        <v>50</v>
      </c>
      <c r="AB34" s="17">
        <f t="shared" si="9"/>
        <v>19002</v>
      </c>
      <c r="AC34" s="17">
        <v>292</v>
      </c>
      <c r="AD34" s="81">
        <f t="shared" si="10"/>
        <v>19294</v>
      </c>
      <c r="AE34" s="90">
        <f t="shared" si="37"/>
        <v>95000</v>
      </c>
      <c r="AF34" s="26">
        <f t="shared" si="37"/>
        <v>0</v>
      </c>
      <c r="AG34" s="17">
        <v>95</v>
      </c>
      <c r="AH34" s="17"/>
      <c r="AI34" s="17">
        <f t="shared" si="12"/>
        <v>95</v>
      </c>
      <c r="AJ34" s="17">
        <v>246</v>
      </c>
      <c r="AK34" s="81">
        <f t="shared" si="13"/>
        <v>341</v>
      </c>
      <c r="AL34" s="90">
        <f t="shared" si="37"/>
        <v>7215244</v>
      </c>
      <c r="AM34" s="26">
        <v>-2931000</v>
      </c>
      <c r="AN34" s="26">
        <v>4284000</v>
      </c>
      <c r="AO34" s="34">
        <v>10</v>
      </c>
      <c r="AP34" s="17">
        <v>4294</v>
      </c>
      <c r="AQ34" s="17">
        <v>-655</v>
      </c>
      <c r="AR34" s="81">
        <f t="shared" si="15"/>
        <v>3639</v>
      </c>
      <c r="AS34" s="90">
        <v>2931000</v>
      </c>
      <c r="AT34" s="17">
        <v>2931</v>
      </c>
      <c r="AU34" s="17">
        <v>-10</v>
      </c>
      <c r="AV34" s="17">
        <v>2921</v>
      </c>
      <c r="AW34" s="17">
        <v>266</v>
      </c>
      <c r="AX34" s="81">
        <f t="shared" si="17"/>
        <v>3187</v>
      </c>
      <c r="AY34" s="90">
        <f t="shared" si="37"/>
        <v>0</v>
      </c>
      <c r="AZ34" s="26">
        <f t="shared" si="37"/>
        <v>0</v>
      </c>
      <c r="BA34" s="26">
        <f t="shared" si="37"/>
        <v>0</v>
      </c>
      <c r="BB34" s="26">
        <v>1</v>
      </c>
      <c r="BC34" s="17">
        <f t="shared" si="18"/>
        <v>1</v>
      </c>
      <c r="BD34" s="17">
        <v>60</v>
      </c>
      <c r="BE34" s="17">
        <f t="shared" si="19"/>
        <v>61</v>
      </c>
      <c r="BF34" s="17">
        <v>384</v>
      </c>
      <c r="BG34" s="81">
        <f t="shared" si="20"/>
        <v>445</v>
      </c>
      <c r="BH34" s="48">
        <f t="shared" si="0"/>
        <v>75748996</v>
      </c>
      <c r="BI34" s="12">
        <v>2532</v>
      </c>
      <c r="BJ34" s="12">
        <v>78281</v>
      </c>
      <c r="BK34" s="113">
        <f t="shared" si="23"/>
        <v>0</v>
      </c>
      <c r="BL34" s="113">
        <f t="shared" si="24"/>
        <v>78281</v>
      </c>
      <c r="BM34" s="113">
        <f t="shared" si="25"/>
        <v>3155</v>
      </c>
      <c r="BN34" s="113">
        <f t="shared" si="26"/>
        <v>81436</v>
      </c>
      <c r="BO34" s="113">
        <f t="shared" si="27"/>
        <v>0</v>
      </c>
      <c r="BP34" s="113">
        <f t="shared" si="28"/>
        <v>81436</v>
      </c>
      <c r="BQ34" s="113">
        <f t="shared" si="29"/>
        <v>0</v>
      </c>
      <c r="BR34" s="113">
        <f t="shared" si="30"/>
        <v>81436</v>
      </c>
    </row>
    <row r="35" spans="1:79" s="29" customFormat="1" ht="12.75" customHeight="1" x14ac:dyDescent="0.2">
      <c r="A35" s="28" t="s">
        <v>28</v>
      </c>
      <c r="B35" s="67" t="s">
        <v>75</v>
      </c>
      <c r="C35" s="46">
        <v>46312414</v>
      </c>
      <c r="D35" s="36">
        <v>-21324</v>
      </c>
      <c r="E35" s="36">
        <v>24988</v>
      </c>
      <c r="F35" s="36">
        <v>3214</v>
      </c>
      <c r="G35" s="17">
        <f t="shared" si="34"/>
        <v>28202</v>
      </c>
      <c r="H35" s="17">
        <v>3154</v>
      </c>
      <c r="I35" s="17">
        <f t="shared" si="1"/>
        <v>31356</v>
      </c>
      <c r="J35" s="17">
        <v>3104</v>
      </c>
      <c r="K35" s="17">
        <f t="shared" si="2"/>
        <v>34460</v>
      </c>
      <c r="L35" s="17">
        <v>-6128</v>
      </c>
      <c r="M35" s="81">
        <f t="shared" si="3"/>
        <v>28332</v>
      </c>
      <c r="N35" s="88">
        <v>21324</v>
      </c>
      <c r="O35" s="17">
        <f t="shared" si="4"/>
        <v>21324</v>
      </c>
      <c r="P35" s="17">
        <v>-3214</v>
      </c>
      <c r="Q35" s="17">
        <f t="shared" si="5"/>
        <v>18110</v>
      </c>
      <c r="R35" s="17">
        <v>-3214</v>
      </c>
      <c r="S35" s="17">
        <f t="shared" si="6"/>
        <v>14896</v>
      </c>
      <c r="T35" s="17">
        <v>5595</v>
      </c>
      <c r="U35" s="81">
        <f t="shared" si="7"/>
        <v>20491</v>
      </c>
      <c r="V35" s="46">
        <v>17626338</v>
      </c>
      <c r="W35" s="36">
        <v>1227</v>
      </c>
      <c r="X35" s="17">
        <v>18853</v>
      </c>
      <c r="Y35" s="17">
        <v>0</v>
      </c>
      <c r="Z35" s="17">
        <v>18952</v>
      </c>
      <c r="AA35" s="17">
        <v>50</v>
      </c>
      <c r="AB35" s="17">
        <f t="shared" si="9"/>
        <v>19002</v>
      </c>
      <c r="AC35" s="17">
        <v>292</v>
      </c>
      <c r="AD35" s="81">
        <f t="shared" si="10"/>
        <v>19294</v>
      </c>
      <c r="AE35" s="46">
        <v>95000</v>
      </c>
      <c r="AF35" s="36"/>
      <c r="AG35" s="17">
        <v>95</v>
      </c>
      <c r="AH35" s="17"/>
      <c r="AI35" s="17">
        <f t="shared" si="12"/>
        <v>95</v>
      </c>
      <c r="AJ35" s="17">
        <v>246</v>
      </c>
      <c r="AK35" s="81">
        <f t="shared" si="13"/>
        <v>341</v>
      </c>
      <c r="AL35" s="46">
        <v>7215244</v>
      </c>
      <c r="AM35" s="36">
        <v>-2931</v>
      </c>
      <c r="AN35" s="36">
        <v>4284</v>
      </c>
      <c r="AO35" s="36">
        <v>10</v>
      </c>
      <c r="AP35" s="17">
        <f t="shared" si="14"/>
        <v>4294</v>
      </c>
      <c r="AQ35" s="17">
        <v>-655</v>
      </c>
      <c r="AR35" s="81">
        <f t="shared" si="15"/>
        <v>3639</v>
      </c>
      <c r="AS35" s="88">
        <v>2931</v>
      </c>
      <c r="AT35" s="17">
        <f t="shared" si="16"/>
        <v>2931</v>
      </c>
      <c r="AU35" s="17">
        <v>-10</v>
      </c>
      <c r="AV35" s="17">
        <v>2921</v>
      </c>
      <c r="AW35" s="17">
        <v>266</v>
      </c>
      <c r="AX35" s="81">
        <f t="shared" si="17"/>
        <v>3187</v>
      </c>
      <c r="AY35" s="46">
        <v>0</v>
      </c>
      <c r="AZ35" s="36"/>
      <c r="BA35" s="36"/>
      <c r="BB35" s="36">
        <v>1</v>
      </c>
      <c r="BC35" s="17">
        <f t="shared" si="18"/>
        <v>1</v>
      </c>
      <c r="BD35" s="17">
        <v>60</v>
      </c>
      <c r="BE35" s="17">
        <f t="shared" si="19"/>
        <v>61</v>
      </c>
      <c r="BF35" s="17">
        <v>384</v>
      </c>
      <c r="BG35" s="81">
        <f t="shared" si="20"/>
        <v>445</v>
      </c>
      <c r="BH35" s="47">
        <f t="shared" si="0"/>
        <v>71248996</v>
      </c>
      <c r="BI35" s="12">
        <f t="shared" si="21"/>
        <v>1227</v>
      </c>
      <c r="BJ35" s="12">
        <v>72476</v>
      </c>
      <c r="BK35" s="113">
        <f t="shared" si="23"/>
        <v>0</v>
      </c>
      <c r="BL35" s="113">
        <f t="shared" si="24"/>
        <v>72476</v>
      </c>
      <c r="BM35" s="113">
        <f t="shared" si="25"/>
        <v>3155</v>
      </c>
      <c r="BN35" s="113">
        <f t="shared" si="26"/>
        <v>75631</v>
      </c>
      <c r="BO35" s="113">
        <f t="shared" si="27"/>
        <v>0</v>
      </c>
      <c r="BP35" s="113">
        <f t="shared" si="28"/>
        <v>75631</v>
      </c>
      <c r="BQ35" s="113">
        <f t="shared" si="29"/>
        <v>0</v>
      </c>
      <c r="BR35" s="113">
        <f t="shared" si="30"/>
        <v>75631</v>
      </c>
    </row>
    <row r="36" spans="1:79" s="24" customFormat="1" ht="12.75" customHeight="1" x14ac:dyDescent="0.2">
      <c r="A36" s="28" t="s">
        <v>29</v>
      </c>
      <c r="B36" s="67" t="s">
        <v>81</v>
      </c>
      <c r="C36" s="46">
        <v>4500000</v>
      </c>
      <c r="D36" s="36"/>
      <c r="E36" s="36">
        <v>4500</v>
      </c>
      <c r="F36" s="36"/>
      <c r="G36" s="17">
        <f t="shared" si="34"/>
        <v>4500</v>
      </c>
      <c r="H36" s="17"/>
      <c r="I36" s="17">
        <f t="shared" si="1"/>
        <v>4500</v>
      </c>
      <c r="J36" s="17"/>
      <c r="K36" s="17">
        <f t="shared" si="2"/>
        <v>4500</v>
      </c>
      <c r="L36" s="17"/>
      <c r="M36" s="81">
        <f t="shared" si="3"/>
        <v>4500</v>
      </c>
      <c r="N36" s="88">
        <v>1305</v>
      </c>
      <c r="O36" s="17">
        <f t="shared" si="4"/>
        <v>1305</v>
      </c>
      <c r="P36" s="17"/>
      <c r="Q36" s="17">
        <f t="shared" si="5"/>
        <v>1305</v>
      </c>
      <c r="R36" s="17"/>
      <c r="S36" s="17">
        <f t="shared" si="6"/>
        <v>1305</v>
      </c>
      <c r="T36" s="17"/>
      <c r="U36" s="81">
        <f t="shared" si="7"/>
        <v>1305</v>
      </c>
      <c r="V36" s="46"/>
      <c r="W36" s="36"/>
      <c r="X36" s="17">
        <f t="shared" si="8"/>
        <v>0</v>
      </c>
      <c r="Y36" s="17"/>
      <c r="Z36" s="17"/>
      <c r="AA36" s="17"/>
      <c r="AB36" s="17">
        <f t="shared" si="9"/>
        <v>0</v>
      </c>
      <c r="AC36" s="17"/>
      <c r="AD36" s="81">
        <f t="shared" si="10"/>
        <v>0</v>
      </c>
      <c r="AE36" s="46"/>
      <c r="AF36" s="36"/>
      <c r="AG36" s="17">
        <f t="shared" si="11"/>
        <v>0</v>
      </c>
      <c r="AH36" s="17"/>
      <c r="AI36" s="17">
        <f t="shared" si="12"/>
        <v>0</v>
      </c>
      <c r="AJ36" s="17"/>
      <c r="AK36" s="81">
        <f t="shared" si="13"/>
        <v>0</v>
      </c>
      <c r="AL36" s="46"/>
      <c r="AM36" s="36"/>
      <c r="AN36" s="36"/>
      <c r="AO36" s="36"/>
      <c r="AP36" s="17">
        <f t="shared" si="14"/>
        <v>0</v>
      </c>
      <c r="AQ36" s="17"/>
      <c r="AR36" s="81">
        <f t="shared" si="15"/>
        <v>0</v>
      </c>
      <c r="AS36" s="88"/>
      <c r="AT36" s="17">
        <f t="shared" si="16"/>
        <v>0</v>
      </c>
      <c r="AU36" s="17"/>
      <c r="AV36" s="17"/>
      <c r="AW36" s="17"/>
      <c r="AX36" s="81">
        <f t="shared" si="17"/>
        <v>0</v>
      </c>
      <c r="AY36" s="46"/>
      <c r="AZ36" s="36"/>
      <c r="BA36" s="36"/>
      <c r="BB36" s="36"/>
      <c r="BC36" s="17">
        <f t="shared" si="18"/>
        <v>0</v>
      </c>
      <c r="BD36" s="17"/>
      <c r="BE36" s="17">
        <f t="shared" si="19"/>
        <v>0</v>
      </c>
      <c r="BF36" s="17"/>
      <c r="BG36" s="81">
        <f t="shared" si="20"/>
        <v>0</v>
      </c>
      <c r="BH36" s="47">
        <f t="shared" si="0"/>
        <v>4500000</v>
      </c>
      <c r="BI36" s="12">
        <f t="shared" si="21"/>
        <v>1305</v>
      </c>
      <c r="BJ36" s="12">
        <f t="shared" si="22"/>
        <v>5805</v>
      </c>
      <c r="BK36" s="113">
        <f t="shared" si="23"/>
        <v>0</v>
      </c>
      <c r="BL36" s="113">
        <f t="shared" si="24"/>
        <v>5805</v>
      </c>
      <c r="BM36" s="113">
        <f t="shared" si="25"/>
        <v>0</v>
      </c>
      <c r="BN36" s="113">
        <f t="shared" si="26"/>
        <v>5805</v>
      </c>
      <c r="BO36" s="113">
        <f t="shared" si="27"/>
        <v>0</v>
      </c>
      <c r="BP36" s="113">
        <f t="shared" si="28"/>
        <v>5805</v>
      </c>
      <c r="BQ36" s="113">
        <f t="shared" si="29"/>
        <v>0</v>
      </c>
      <c r="BR36" s="113">
        <f t="shared" si="30"/>
        <v>5805</v>
      </c>
    </row>
    <row r="37" spans="1:79" s="24" customFormat="1" ht="12.75" customHeight="1" x14ac:dyDescent="0.2">
      <c r="A37" s="28" t="s">
        <v>30</v>
      </c>
      <c r="B37" s="67" t="s">
        <v>76</v>
      </c>
      <c r="C37" s="46"/>
      <c r="D37" s="36"/>
      <c r="E37" s="36"/>
      <c r="F37" s="36"/>
      <c r="G37" s="17">
        <f t="shared" si="34"/>
        <v>0</v>
      </c>
      <c r="H37" s="17"/>
      <c r="I37" s="17">
        <f t="shared" si="1"/>
        <v>0</v>
      </c>
      <c r="J37" s="17"/>
      <c r="K37" s="17">
        <f t="shared" si="2"/>
        <v>0</v>
      </c>
      <c r="L37" s="17"/>
      <c r="M37" s="81">
        <f t="shared" si="3"/>
        <v>0</v>
      </c>
      <c r="N37" s="88"/>
      <c r="O37" s="17">
        <f t="shared" si="4"/>
        <v>0</v>
      </c>
      <c r="P37" s="17"/>
      <c r="Q37" s="17">
        <f t="shared" si="5"/>
        <v>0</v>
      </c>
      <c r="R37" s="17"/>
      <c r="S37" s="17">
        <f t="shared" si="6"/>
        <v>0</v>
      </c>
      <c r="T37" s="17"/>
      <c r="U37" s="81">
        <f t="shared" si="7"/>
        <v>0</v>
      </c>
      <c r="V37" s="46"/>
      <c r="W37" s="36"/>
      <c r="X37" s="17">
        <f t="shared" si="8"/>
        <v>0</v>
      </c>
      <c r="Y37" s="17"/>
      <c r="Z37" s="17"/>
      <c r="AA37" s="17"/>
      <c r="AB37" s="17">
        <f t="shared" si="9"/>
        <v>0</v>
      </c>
      <c r="AC37" s="17"/>
      <c r="AD37" s="81">
        <f t="shared" si="10"/>
        <v>0</v>
      </c>
      <c r="AE37" s="46"/>
      <c r="AF37" s="36"/>
      <c r="AG37" s="17">
        <f t="shared" si="11"/>
        <v>0</v>
      </c>
      <c r="AH37" s="17"/>
      <c r="AI37" s="17">
        <f t="shared" si="12"/>
        <v>0</v>
      </c>
      <c r="AJ37" s="17"/>
      <c r="AK37" s="81">
        <f t="shared" si="13"/>
        <v>0</v>
      </c>
      <c r="AL37" s="46"/>
      <c r="AM37" s="36"/>
      <c r="AN37" s="36"/>
      <c r="AO37" s="36"/>
      <c r="AP37" s="17">
        <f t="shared" si="14"/>
        <v>0</v>
      </c>
      <c r="AQ37" s="17"/>
      <c r="AR37" s="81">
        <f t="shared" si="15"/>
        <v>0</v>
      </c>
      <c r="AS37" s="88"/>
      <c r="AT37" s="17">
        <f t="shared" si="16"/>
        <v>0</v>
      </c>
      <c r="AU37" s="17"/>
      <c r="AV37" s="17"/>
      <c r="AW37" s="17"/>
      <c r="AX37" s="81">
        <f t="shared" si="17"/>
        <v>0</v>
      </c>
      <c r="AY37" s="46"/>
      <c r="AZ37" s="36"/>
      <c r="BA37" s="36"/>
      <c r="BB37" s="36"/>
      <c r="BC37" s="17">
        <f t="shared" si="18"/>
        <v>0</v>
      </c>
      <c r="BD37" s="17"/>
      <c r="BE37" s="17">
        <f t="shared" si="19"/>
        <v>0</v>
      </c>
      <c r="BF37" s="17"/>
      <c r="BG37" s="81">
        <f t="shared" si="20"/>
        <v>0</v>
      </c>
      <c r="BH37" s="49">
        <v>0</v>
      </c>
      <c r="BI37" s="12">
        <f t="shared" si="21"/>
        <v>0</v>
      </c>
      <c r="BJ37" s="12">
        <f t="shared" si="22"/>
        <v>0</v>
      </c>
      <c r="BK37" s="113">
        <f t="shared" si="23"/>
        <v>0</v>
      </c>
      <c r="BL37" s="113">
        <f t="shared" si="24"/>
        <v>0</v>
      </c>
      <c r="BM37" s="113">
        <f t="shared" si="25"/>
        <v>0</v>
      </c>
      <c r="BN37" s="113">
        <f t="shared" si="26"/>
        <v>0</v>
      </c>
      <c r="BO37" s="113">
        <f t="shared" si="27"/>
        <v>0</v>
      </c>
      <c r="BP37" s="113">
        <f t="shared" si="28"/>
        <v>0</v>
      </c>
      <c r="BQ37" s="113">
        <f t="shared" si="29"/>
        <v>0</v>
      </c>
      <c r="BR37" s="113">
        <f t="shared" si="30"/>
        <v>0</v>
      </c>
    </row>
    <row r="38" spans="1:79" s="7" customFormat="1" ht="12.75" customHeight="1" x14ac:dyDescent="0.2">
      <c r="A38" s="20" t="s">
        <v>31</v>
      </c>
      <c r="B38" s="68" t="s">
        <v>56</v>
      </c>
      <c r="C38" s="90">
        <f>C29+C33+C34</f>
        <v>61508354</v>
      </c>
      <c r="D38" s="34">
        <v>-21324</v>
      </c>
      <c r="E38" s="34">
        <v>40185</v>
      </c>
      <c r="F38" s="34">
        <v>3258</v>
      </c>
      <c r="G38" s="17">
        <f t="shared" si="34"/>
        <v>43443</v>
      </c>
      <c r="H38" s="17">
        <v>3154</v>
      </c>
      <c r="I38" s="17">
        <f t="shared" si="1"/>
        <v>46597</v>
      </c>
      <c r="J38" s="17">
        <v>4588</v>
      </c>
      <c r="K38" s="17">
        <f t="shared" si="2"/>
        <v>51185</v>
      </c>
      <c r="L38" s="17">
        <f>L34+L29</f>
        <v>-5901</v>
      </c>
      <c r="M38" s="81">
        <f t="shared" si="3"/>
        <v>45284</v>
      </c>
      <c r="N38" s="89">
        <v>22629</v>
      </c>
      <c r="O38" s="17">
        <f t="shared" si="4"/>
        <v>22629</v>
      </c>
      <c r="P38" s="17">
        <v>-3214</v>
      </c>
      <c r="Q38" s="17">
        <f t="shared" si="5"/>
        <v>19415</v>
      </c>
      <c r="R38" s="17">
        <v>-3214</v>
      </c>
      <c r="S38" s="17">
        <f t="shared" si="6"/>
        <v>16201</v>
      </c>
      <c r="T38" s="17">
        <v>5595</v>
      </c>
      <c r="U38" s="81">
        <f t="shared" si="7"/>
        <v>21796</v>
      </c>
      <c r="V38" s="90">
        <f t="shared" ref="V38:BA38" si="38">V29+V33+V34</f>
        <v>18126338</v>
      </c>
      <c r="W38" s="34">
        <v>1227</v>
      </c>
      <c r="X38" s="17">
        <v>19353</v>
      </c>
      <c r="Y38" s="17">
        <v>99</v>
      </c>
      <c r="Z38" s="17">
        <v>19452</v>
      </c>
      <c r="AA38" s="17">
        <v>50</v>
      </c>
      <c r="AB38" s="17">
        <f t="shared" si="9"/>
        <v>19502</v>
      </c>
      <c r="AC38" s="17">
        <f>AC29+AC34</f>
        <v>220</v>
      </c>
      <c r="AD38" s="81">
        <f t="shared" si="10"/>
        <v>19722</v>
      </c>
      <c r="AE38" s="90">
        <f t="shared" si="38"/>
        <v>635000</v>
      </c>
      <c r="AF38" s="34">
        <f t="shared" si="38"/>
        <v>0</v>
      </c>
      <c r="AG38" s="17">
        <v>635</v>
      </c>
      <c r="AH38" s="17">
        <v>5</v>
      </c>
      <c r="AI38" s="17">
        <f t="shared" si="12"/>
        <v>640</v>
      </c>
      <c r="AJ38" s="17">
        <f>AJ34+AJ29</f>
        <v>0</v>
      </c>
      <c r="AK38" s="81">
        <f t="shared" si="13"/>
        <v>640</v>
      </c>
      <c r="AL38" s="90">
        <f t="shared" si="38"/>
        <v>7295244</v>
      </c>
      <c r="AM38" s="34">
        <v>-2931</v>
      </c>
      <c r="AN38" s="34">
        <v>4364</v>
      </c>
      <c r="AO38" s="34">
        <v>23</v>
      </c>
      <c r="AP38" s="17">
        <f t="shared" si="14"/>
        <v>4387</v>
      </c>
      <c r="AQ38" s="17">
        <f>SUM(AQ29+AQ34)</f>
        <v>-564</v>
      </c>
      <c r="AR38" s="81">
        <f t="shared" si="15"/>
        <v>3823</v>
      </c>
      <c r="AS38" s="89">
        <v>2931</v>
      </c>
      <c r="AT38" s="17">
        <f t="shared" si="16"/>
        <v>2931</v>
      </c>
      <c r="AU38" s="17">
        <v>-10</v>
      </c>
      <c r="AV38" s="17">
        <v>2921</v>
      </c>
      <c r="AW38" s="17">
        <v>266</v>
      </c>
      <c r="AX38" s="81">
        <f t="shared" si="17"/>
        <v>3187</v>
      </c>
      <c r="AY38" s="90">
        <f t="shared" si="38"/>
        <v>1169069</v>
      </c>
      <c r="AZ38" s="34">
        <f t="shared" si="38"/>
        <v>1878</v>
      </c>
      <c r="BA38" s="34">
        <f t="shared" si="38"/>
        <v>3048</v>
      </c>
      <c r="BB38" s="34">
        <v>2819</v>
      </c>
      <c r="BC38" s="17">
        <f t="shared" si="18"/>
        <v>5867</v>
      </c>
      <c r="BD38" s="17">
        <v>60</v>
      </c>
      <c r="BE38" s="17">
        <f t="shared" si="19"/>
        <v>5927</v>
      </c>
      <c r="BF38" s="17">
        <v>384</v>
      </c>
      <c r="BG38" s="81">
        <f t="shared" si="20"/>
        <v>6311</v>
      </c>
      <c r="BH38" s="48">
        <f>C38+V38+AE38+AL38+AY38</f>
        <v>88734005</v>
      </c>
      <c r="BI38" s="12">
        <f t="shared" si="21"/>
        <v>4410</v>
      </c>
      <c r="BJ38" s="12">
        <v>93144</v>
      </c>
      <c r="BK38" s="113">
        <f t="shared" si="23"/>
        <v>161</v>
      </c>
      <c r="BL38" s="113">
        <f t="shared" si="24"/>
        <v>93305</v>
      </c>
      <c r="BM38" s="113">
        <f t="shared" si="25"/>
        <v>5973</v>
      </c>
      <c r="BN38" s="113">
        <f t="shared" si="26"/>
        <v>99278</v>
      </c>
      <c r="BO38" s="113">
        <v>1484</v>
      </c>
      <c r="BP38" s="113">
        <f t="shared" si="28"/>
        <v>100762</v>
      </c>
      <c r="BQ38" s="113">
        <f t="shared" si="29"/>
        <v>0</v>
      </c>
      <c r="BR38" s="113">
        <f t="shared" si="30"/>
        <v>100762</v>
      </c>
    </row>
    <row r="39" spans="1:79" ht="12.75" customHeight="1" thickBot="1" x14ac:dyDescent="0.25">
      <c r="A39" s="23" t="s">
        <v>32</v>
      </c>
      <c r="B39" s="70" t="s">
        <v>33</v>
      </c>
      <c r="C39" s="91">
        <v>4</v>
      </c>
      <c r="D39" s="73">
        <v>-4</v>
      </c>
      <c r="E39" s="73">
        <v>0</v>
      </c>
      <c r="F39" s="73"/>
      <c r="G39" s="73"/>
      <c r="H39" s="73"/>
      <c r="I39" s="116">
        <f t="shared" si="1"/>
        <v>0</v>
      </c>
      <c r="J39" s="116"/>
      <c r="K39" s="116">
        <v>0</v>
      </c>
      <c r="L39" s="116"/>
      <c r="M39" s="81">
        <f t="shared" si="3"/>
        <v>0</v>
      </c>
      <c r="N39" s="91">
        <v>4</v>
      </c>
      <c r="O39" s="73">
        <v>4</v>
      </c>
      <c r="P39" s="73"/>
      <c r="Q39" s="73">
        <v>4</v>
      </c>
      <c r="R39" s="73"/>
      <c r="S39" s="73">
        <v>4</v>
      </c>
      <c r="T39" s="73"/>
      <c r="U39" s="81">
        <f t="shared" si="7"/>
        <v>4</v>
      </c>
      <c r="V39" s="91">
        <v>3</v>
      </c>
      <c r="W39" s="73"/>
      <c r="X39" s="73"/>
      <c r="Y39" s="73"/>
      <c r="Z39" s="73">
        <v>3</v>
      </c>
      <c r="AA39" s="73"/>
      <c r="AB39" s="116">
        <f t="shared" si="9"/>
        <v>3</v>
      </c>
      <c r="AC39" s="116"/>
      <c r="AD39" s="81">
        <f t="shared" si="10"/>
        <v>3</v>
      </c>
      <c r="AE39" s="91">
        <v>0</v>
      </c>
      <c r="AF39" s="73"/>
      <c r="AG39" s="116">
        <f t="shared" si="11"/>
        <v>0</v>
      </c>
      <c r="AH39" s="116"/>
      <c r="AI39" s="116">
        <f t="shared" si="12"/>
        <v>0</v>
      </c>
      <c r="AJ39" s="116"/>
      <c r="AK39" s="81">
        <f t="shared" si="13"/>
        <v>0</v>
      </c>
      <c r="AL39" s="91">
        <v>1</v>
      </c>
      <c r="AM39" s="73">
        <v>-1</v>
      </c>
      <c r="AN39" s="73"/>
      <c r="AO39" s="73"/>
      <c r="AP39" s="116">
        <f t="shared" si="14"/>
        <v>0</v>
      </c>
      <c r="AQ39" s="116"/>
      <c r="AR39" s="81">
        <f t="shared" si="15"/>
        <v>0</v>
      </c>
      <c r="AS39" s="91">
        <v>1</v>
      </c>
      <c r="AT39" s="116">
        <f t="shared" si="16"/>
        <v>1</v>
      </c>
      <c r="AU39" s="116"/>
      <c r="AV39" s="116">
        <v>1</v>
      </c>
      <c r="AW39" s="116"/>
      <c r="AX39" s="81">
        <f t="shared" si="17"/>
        <v>1</v>
      </c>
      <c r="AY39" s="91">
        <v>3</v>
      </c>
      <c r="AZ39" s="73"/>
      <c r="BA39" s="73"/>
      <c r="BB39" s="73"/>
      <c r="BC39" s="116">
        <f t="shared" si="18"/>
        <v>0</v>
      </c>
      <c r="BD39" s="116"/>
      <c r="BE39" s="116">
        <f t="shared" si="19"/>
        <v>0</v>
      </c>
      <c r="BF39" s="116"/>
      <c r="BG39" s="81">
        <f t="shared" si="20"/>
        <v>0</v>
      </c>
      <c r="BH39" s="331">
        <f>C39+V39+AL39+AY39</f>
        <v>11</v>
      </c>
      <c r="BI39" s="12">
        <f t="shared" si="21"/>
        <v>0</v>
      </c>
      <c r="BJ39" s="12"/>
      <c r="BK39" s="113">
        <f t="shared" si="23"/>
        <v>0</v>
      </c>
      <c r="BL39" s="113">
        <v>11</v>
      </c>
      <c r="BM39" s="113">
        <f t="shared" si="25"/>
        <v>0</v>
      </c>
      <c r="BN39" s="113">
        <f t="shared" si="26"/>
        <v>11</v>
      </c>
      <c r="BO39" s="113">
        <f t="shared" si="27"/>
        <v>0</v>
      </c>
      <c r="BP39" s="113">
        <f t="shared" si="28"/>
        <v>11</v>
      </c>
      <c r="BQ39" s="113">
        <f t="shared" si="29"/>
        <v>0</v>
      </c>
      <c r="BR39" s="113">
        <f t="shared" si="30"/>
        <v>11</v>
      </c>
    </row>
    <row r="40" spans="1:79" x14ac:dyDescent="0.2">
      <c r="B40" s="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92"/>
      <c r="AU40" s="92"/>
      <c r="AV40" s="92"/>
      <c r="AW40" s="92"/>
      <c r="AX40" s="92"/>
      <c r="AY40" s="42"/>
      <c r="AZ40" s="42"/>
      <c r="BA40" s="42"/>
      <c r="BB40" s="42"/>
      <c r="BC40" s="42"/>
      <c r="BD40" s="42"/>
      <c r="BE40" s="42"/>
      <c r="BF40" s="42"/>
      <c r="BG40" s="42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W40" s="4"/>
      <c r="BX40" s="4"/>
      <c r="BY40" s="4"/>
      <c r="BZ40" s="4"/>
      <c r="CA40" s="4"/>
    </row>
    <row r="41" spans="1:79" x14ac:dyDescent="0.2">
      <c r="B41" s="2"/>
      <c r="C41" s="2"/>
      <c r="D41" s="2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4"/>
      <c r="W41" s="4"/>
      <c r="X41" s="8"/>
      <c r="Y41" s="8"/>
      <c r="Z41" s="8"/>
      <c r="AA41" s="8"/>
      <c r="AB41" s="8"/>
      <c r="AC41" s="8"/>
      <c r="AD41" s="8"/>
      <c r="AE41" s="4"/>
      <c r="AF41" s="4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92"/>
      <c r="AU41" s="92"/>
      <c r="AV41" s="92"/>
      <c r="AW41" s="92"/>
      <c r="AX41" s="92"/>
      <c r="AY41" s="4"/>
      <c r="AZ41" s="4"/>
      <c r="BA41" s="8"/>
      <c r="BB41" s="8"/>
      <c r="BC41" s="8"/>
      <c r="BD41" s="8"/>
      <c r="BE41" s="8"/>
      <c r="BF41" s="8"/>
      <c r="BG41" s="8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W41" s="4"/>
      <c r="BX41" s="4"/>
      <c r="BY41" s="4"/>
      <c r="BZ41" s="4"/>
      <c r="CA41" s="4"/>
    </row>
    <row r="42" spans="1:79" x14ac:dyDescent="0.2">
      <c r="B42" s="2"/>
      <c r="C42" s="2"/>
      <c r="D42" s="2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4"/>
      <c r="W42" s="4"/>
      <c r="X42" s="8"/>
      <c r="Y42" s="8"/>
      <c r="Z42" s="8"/>
      <c r="AA42" s="8"/>
      <c r="AB42" s="8"/>
      <c r="AC42" s="8"/>
      <c r="AD42" s="8"/>
      <c r="AE42" s="4"/>
      <c r="AF42" s="4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92"/>
      <c r="AU42" s="92"/>
      <c r="AV42" s="92"/>
      <c r="AW42" s="92"/>
      <c r="AX42" s="92"/>
      <c r="AY42" s="4"/>
      <c r="AZ42" s="4"/>
      <c r="BA42" s="8"/>
      <c r="BB42" s="8"/>
      <c r="BC42" s="8"/>
      <c r="BD42" s="8"/>
      <c r="BE42" s="8"/>
      <c r="BF42" s="8"/>
      <c r="BG42" s="8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W42" s="4"/>
      <c r="BX42" s="4"/>
      <c r="BY42" s="4"/>
      <c r="BZ42" s="4"/>
      <c r="CA42" s="4"/>
    </row>
    <row r="43" spans="1:79" x14ac:dyDescent="0.2">
      <c r="B43" s="2"/>
      <c r="C43" s="2"/>
      <c r="D43" s="2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4"/>
      <c r="W43" s="4"/>
      <c r="X43" s="8"/>
      <c r="Y43" s="8"/>
      <c r="Z43" s="8"/>
      <c r="AA43" s="8"/>
      <c r="AB43" s="8"/>
      <c r="AC43" s="8"/>
      <c r="AD43" s="8"/>
      <c r="AE43" s="4"/>
      <c r="AF43" s="4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92"/>
      <c r="AU43" s="92"/>
      <c r="AV43" s="92"/>
      <c r="AW43" s="92"/>
      <c r="AX43" s="92"/>
      <c r="AY43" s="4"/>
      <c r="AZ43" s="4"/>
      <c r="BA43" s="8"/>
      <c r="BB43" s="8"/>
      <c r="BC43" s="8"/>
      <c r="BD43" s="8"/>
      <c r="BE43" s="8"/>
      <c r="BF43" s="8"/>
      <c r="BG43" s="8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W43" s="4"/>
      <c r="BX43" s="4"/>
      <c r="BY43" s="4"/>
      <c r="BZ43" s="4"/>
      <c r="CA43" s="4"/>
    </row>
    <row r="44" spans="1:79" x14ac:dyDescent="0.2">
      <c r="B44" s="2"/>
      <c r="C44" s="2"/>
      <c r="D44" s="2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4"/>
      <c r="W44" s="4"/>
      <c r="X44" s="8"/>
      <c r="Y44" s="8"/>
      <c r="Z44" s="8"/>
      <c r="AA44" s="8"/>
      <c r="AB44" s="8"/>
      <c r="AC44" s="8"/>
      <c r="AD44" s="8"/>
      <c r="AE44" s="4"/>
      <c r="AF44" s="4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92"/>
      <c r="AU44" s="92"/>
      <c r="AV44" s="92"/>
      <c r="AW44" s="92"/>
      <c r="AX44" s="92"/>
      <c r="AY44" s="4"/>
      <c r="AZ44" s="4"/>
      <c r="BA44" s="8"/>
      <c r="BB44" s="8"/>
      <c r="BC44" s="8"/>
      <c r="BD44" s="8"/>
      <c r="BE44" s="8"/>
      <c r="BF44" s="8"/>
      <c r="BG44" s="8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W44" s="4"/>
      <c r="BX44" s="4"/>
      <c r="BY44" s="4"/>
      <c r="BZ44" s="4"/>
      <c r="CA44" s="4"/>
    </row>
    <row r="45" spans="1:79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4"/>
      <c r="W45" s="4"/>
      <c r="X45" s="8"/>
      <c r="Y45" s="8"/>
      <c r="Z45" s="8"/>
      <c r="AA45" s="8"/>
      <c r="AB45" s="8"/>
      <c r="AC45" s="8"/>
      <c r="AD45" s="8"/>
      <c r="AE45" s="4"/>
      <c r="AF45" s="4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92"/>
      <c r="AU45" s="92"/>
      <c r="AV45" s="92"/>
      <c r="AW45" s="92"/>
      <c r="AX45" s="92"/>
      <c r="AY45" s="4"/>
      <c r="AZ45" s="4"/>
      <c r="BA45" s="8"/>
      <c r="BB45" s="8"/>
      <c r="BC45" s="8"/>
      <c r="BD45" s="8"/>
      <c r="BE45" s="8"/>
      <c r="BF45" s="8"/>
      <c r="BG45" s="8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W45" s="4"/>
      <c r="BX45" s="4"/>
      <c r="BY45" s="4"/>
      <c r="BZ45" s="4"/>
      <c r="CA45" s="4"/>
    </row>
    <row r="46" spans="1:79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X46" s="8"/>
      <c r="Y46" s="8"/>
      <c r="Z46" s="8"/>
      <c r="AA46" s="8"/>
      <c r="AB46" s="8"/>
      <c r="AC46" s="8"/>
      <c r="AD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BA46" s="8"/>
      <c r="BB46" s="8"/>
      <c r="BC46" s="8"/>
      <c r="BD46" s="8"/>
      <c r="BE46" s="8"/>
      <c r="BF46" s="8"/>
      <c r="BG46" s="8"/>
    </row>
    <row r="47" spans="1:79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X47" s="8"/>
      <c r="Y47" s="8"/>
      <c r="Z47" s="8"/>
      <c r="AA47" s="8"/>
      <c r="AB47" s="8"/>
      <c r="AC47" s="8"/>
      <c r="AD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BA47" s="8"/>
      <c r="BB47" s="8"/>
      <c r="BC47" s="8"/>
      <c r="BD47" s="8"/>
      <c r="BE47" s="8"/>
      <c r="BF47" s="8"/>
      <c r="BG47" s="8"/>
    </row>
    <row r="48" spans="1:79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X48" s="8"/>
      <c r="Y48" s="8"/>
      <c r="Z48" s="8"/>
      <c r="AA48" s="8"/>
      <c r="AB48" s="8"/>
      <c r="AC48" s="8"/>
      <c r="AD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BA48" s="8"/>
      <c r="BB48" s="8"/>
      <c r="BC48" s="8"/>
      <c r="BD48" s="8"/>
      <c r="BE48" s="8"/>
      <c r="BF48" s="8"/>
      <c r="BG48" s="8"/>
    </row>
    <row r="49" spans="2:74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X49" s="8"/>
      <c r="Y49" s="8"/>
      <c r="Z49" s="8"/>
      <c r="AA49" s="8"/>
      <c r="AB49" s="8"/>
      <c r="AC49" s="8"/>
      <c r="AD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2:74" x14ac:dyDescent="0.2">
      <c r="X50" s="8"/>
      <c r="Y50" s="8"/>
      <c r="Z50" s="8"/>
      <c r="AA50" s="8"/>
      <c r="AB50" s="8"/>
      <c r="AC50" s="8"/>
      <c r="AD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2:74" x14ac:dyDescent="0.2">
      <c r="X51" s="8"/>
      <c r="Y51" s="8"/>
      <c r="Z51" s="8"/>
      <c r="AA51" s="8"/>
      <c r="AB51" s="8"/>
      <c r="AC51" s="8"/>
      <c r="AD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2:74" x14ac:dyDescent="0.2">
      <c r="X52" s="8"/>
      <c r="Y52" s="8"/>
      <c r="Z52" s="8"/>
      <c r="AA52" s="8"/>
      <c r="AB52" s="8"/>
      <c r="AC52" s="8"/>
      <c r="AD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2:74" x14ac:dyDescent="0.2">
      <c r="X53" s="8"/>
      <c r="Y53" s="8"/>
      <c r="Z53" s="8"/>
      <c r="AA53" s="8"/>
      <c r="AB53" s="8"/>
      <c r="AC53" s="8"/>
      <c r="AD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2:74" x14ac:dyDescent="0.2">
      <c r="X54" s="8"/>
      <c r="Y54" s="8"/>
      <c r="Z54" s="8"/>
      <c r="AA54" s="8"/>
      <c r="AB54" s="8"/>
      <c r="AC54" s="8"/>
      <c r="AD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2:74" x14ac:dyDescent="0.2">
      <c r="X55" s="8"/>
      <c r="Y55" s="8"/>
      <c r="Z55" s="8"/>
      <c r="AA55" s="8"/>
      <c r="AB55" s="8"/>
      <c r="AC55" s="8"/>
      <c r="AD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2:74" x14ac:dyDescent="0.2">
      <c r="X56" s="8"/>
      <c r="Y56" s="8"/>
      <c r="Z56" s="8"/>
      <c r="AA56" s="8"/>
      <c r="AB56" s="8"/>
      <c r="AC56" s="8"/>
      <c r="AD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2:74" x14ac:dyDescent="0.2">
      <c r="X57" s="8"/>
      <c r="Y57" s="8"/>
      <c r="Z57" s="8"/>
      <c r="AA57" s="8"/>
      <c r="AB57" s="8"/>
      <c r="AC57" s="8"/>
      <c r="AD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BT57" s="7"/>
      <c r="BU57" s="7"/>
      <c r="BV57" s="7"/>
    </row>
    <row r="58" spans="2:74" x14ac:dyDescent="0.2">
      <c r="X58" s="8"/>
      <c r="Y58" s="8"/>
      <c r="Z58" s="8"/>
      <c r="AA58" s="8"/>
      <c r="AB58" s="8"/>
      <c r="AC58" s="8"/>
      <c r="AD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BT58" s="7"/>
      <c r="BU58" s="7"/>
      <c r="BV58" s="7"/>
    </row>
    <row r="59" spans="2:74" x14ac:dyDescent="0.2">
      <c r="X59" s="8"/>
      <c r="Y59" s="8"/>
      <c r="Z59" s="8"/>
      <c r="AA59" s="8"/>
      <c r="AB59" s="8"/>
      <c r="AC59" s="8"/>
      <c r="AD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2:74" x14ac:dyDescent="0.2">
      <c r="X60" s="8"/>
      <c r="Y60" s="8"/>
      <c r="Z60" s="8"/>
      <c r="AA60" s="8"/>
      <c r="AB60" s="8"/>
      <c r="AC60" s="8"/>
      <c r="AD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2:74" x14ac:dyDescent="0.2">
      <c r="X61" s="8"/>
      <c r="Y61" s="8"/>
      <c r="Z61" s="8"/>
      <c r="AA61" s="8"/>
      <c r="AB61" s="8"/>
      <c r="AC61" s="8"/>
      <c r="AD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2:74" x14ac:dyDescent="0.2">
      <c r="X62" s="8"/>
      <c r="Y62" s="8"/>
      <c r="Z62" s="8"/>
      <c r="AA62" s="8"/>
      <c r="AB62" s="8"/>
      <c r="AC62" s="8"/>
      <c r="AD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2:74" x14ac:dyDescent="0.2">
      <c r="X63" s="8"/>
      <c r="Y63" s="8"/>
      <c r="Z63" s="8"/>
      <c r="AA63" s="8"/>
      <c r="AB63" s="8"/>
      <c r="AC63" s="8"/>
      <c r="AD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2:74" x14ac:dyDescent="0.2"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33:74" x14ac:dyDescent="0.2"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33:74" x14ac:dyDescent="0.2"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33:74" x14ac:dyDescent="0.2">
      <c r="BT67" s="4"/>
      <c r="BU67" s="4"/>
      <c r="BV67" s="4"/>
    </row>
    <row r="68" spans="33:74" x14ac:dyDescent="0.2">
      <c r="BT68" s="4"/>
      <c r="BU68" s="4"/>
      <c r="BV68" s="4"/>
    </row>
    <row r="69" spans="33:74" x14ac:dyDescent="0.2">
      <c r="BT69" s="4"/>
      <c r="BU69" s="4"/>
      <c r="BV69" s="4"/>
    </row>
    <row r="70" spans="33:74" x14ac:dyDescent="0.2">
      <c r="BT70" s="4"/>
      <c r="BU70" s="4"/>
      <c r="BV70" s="4"/>
    </row>
    <row r="71" spans="33:74" x14ac:dyDescent="0.2">
      <c r="BT71" s="5"/>
      <c r="BU71" s="5"/>
      <c r="BV71" s="5"/>
    </row>
    <row r="72" spans="33:74" x14ac:dyDescent="0.2">
      <c r="BT72" s="5"/>
      <c r="BU72" s="5"/>
      <c r="BV72" s="5"/>
    </row>
    <row r="73" spans="33:74" x14ac:dyDescent="0.2">
      <c r="BT73" s="4"/>
      <c r="BU73" s="4"/>
      <c r="BV73" s="4"/>
    </row>
    <row r="74" spans="33:74" x14ac:dyDescent="0.2">
      <c r="BT74" s="4"/>
      <c r="BU74" s="4"/>
      <c r="BV74" s="4"/>
    </row>
    <row r="75" spans="33:74" x14ac:dyDescent="0.2">
      <c r="BT75" s="4"/>
      <c r="BU75" s="4"/>
      <c r="BV75" s="4"/>
    </row>
    <row r="76" spans="33:74" x14ac:dyDescent="0.2">
      <c r="BT76" s="4"/>
      <c r="BU76" s="4"/>
      <c r="BV76" s="4"/>
    </row>
    <row r="77" spans="33:74" x14ac:dyDescent="0.2">
      <c r="BT77" s="4"/>
      <c r="BU77" s="4"/>
      <c r="BV77" s="4"/>
    </row>
    <row r="78" spans="33:74" x14ac:dyDescent="0.2">
      <c r="BT78" s="4"/>
      <c r="BU78" s="4"/>
      <c r="BV78" s="4"/>
    </row>
    <row r="79" spans="33:74" x14ac:dyDescent="0.2">
      <c r="BT79" s="4"/>
      <c r="BU79" s="4"/>
      <c r="BV79" s="4"/>
    </row>
    <row r="80" spans="33:74" x14ac:dyDescent="0.2">
      <c r="BT80" s="4"/>
      <c r="BU80" s="4"/>
      <c r="BV80" s="4"/>
    </row>
    <row r="81" spans="72:74" x14ac:dyDescent="0.2">
      <c r="BT81" s="4"/>
      <c r="BU81" s="4"/>
      <c r="BV81" s="4"/>
    </row>
    <row r="82" spans="72:74" x14ac:dyDescent="0.2">
      <c r="BT82" s="4"/>
      <c r="BU82" s="4"/>
      <c r="BV82" s="4"/>
    </row>
    <row r="83" spans="72:74" x14ac:dyDescent="0.2">
      <c r="BT83" s="4"/>
      <c r="BU83" s="4"/>
      <c r="BV83" s="4"/>
    </row>
    <row r="84" spans="72:74" x14ac:dyDescent="0.2">
      <c r="BT84" s="4"/>
      <c r="BU84" s="4"/>
      <c r="BV84" s="4"/>
    </row>
  </sheetData>
  <mergeCells count="82">
    <mergeCell ref="V4:AD4"/>
    <mergeCell ref="AD5:AD6"/>
    <mergeCell ref="AC5:AC6"/>
    <mergeCell ref="C4:M4"/>
    <mergeCell ref="L5:L6"/>
    <mergeCell ref="M5:M6"/>
    <mergeCell ref="N4:U4"/>
    <mergeCell ref="T5:T6"/>
    <mergeCell ref="U5:U6"/>
    <mergeCell ref="F5:F6"/>
    <mergeCell ref="G5:G6"/>
    <mergeCell ref="H5:H6"/>
    <mergeCell ref="I5:I6"/>
    <mergeCell ref="J5:J6"/>
    <mergeCell ref="K5:K6"/>
    <mergeCell ref="P5:P6"/>
    <mergeCell ref="AL4:AR4"/>
    <mergeCell ref="AR5:AR6"/>
    <mergeCell ref="AQ5:AQ6"/>
    <mergeCell ref="AS4:AX4"/>
    <mergeCell ref="AW5:AW6"/>
    <mergeCell ref="AX5:AX6"/>
    <mergeCell ref="AU5:AU6"/>
    <mergeCell ref="AV5:AV6"/>
    <mergeCell ref="AO5:AO6"/>
    <mergeCell ref="AP5:AP6"/>
    <mergeCell ref="BL5:BL6"/>
    <mergeCell ref="Q5:Q6"/>
    <mergeCell ref="Z5:Z6"/>
    <mergeCell ref="AH5:AH6"/>
    <mergeCell ref="AJ5:AJ6"/>
    <mergeCell ref="AK5:AK6"/>
    <mergeCell ref="AA5:AA6"/>
    <mergeCell ref="AB5:AB6"/>
    <mergeCell ref="AY4:BG4"/>
    <mergeCell ref="BF5:BF6"/>
    <mergeCell ref="BG5:BG6"/>
    <mergeCell ref="BH4:BR4"/>
    <mergeCell ref="BQ5:BQ6"/>
    <mergeCell ref="BO5:BO6"/>
    <mergeCell ref="BC5:BC6"/>
    <mergeCell ref="BM5:BM6"/>
    <mergeCell ref="BH5:BH6"/>
    <mergeCell ref="BI5:BI6"/>
    <mergeCell ref="BJ5:BJ6"/>
    <mergeCell ref="BR5:BR6"/>
    <mergeCell ref="BB5:BB6"/>
    <mergeCell ref="BP5:BP6"/>
    <mergeCell ref="BN5:BN6"/>
    <mergeCell ref="BK5:BK6"/>
    <mergeCell ref="A23:B23"/>
    <mergeCell ref="AL5:AL6"/>
    <mergeCell ref="AM5:AM6"/>
    <mergeCell ref="AN5:AN6"/>
    <mergeCell ref="A8:B8"/>
    <mergeCell ref="A7:B7"/>
    <mergeCell ref="N5:N6"/>
    <mergeCell ref="O5:O6"/>
    <mergeCell ref="AF5:AF6"/>
    <mergeCell ref="V5:V6"/>
    <mergeCell ref="W5:W6"/>
    <mergeCell ref="X5:X6"/>
    <mergeCell ref="AE5:AE6"/>
    <mergeCell ref="Y5:Y6"/>
    <mergeCell ref="R5:R6"/>
    <mergeCell ref="S5:S6"/>
    <mergeCell ref="B1:BA1"/>
    <mergeCell ref="A3:B6"/>
    <mergeCell ref="C3:BJ3"/>
    <mergeCell ref="AG5:AG6"/>
    <mergeCell ref="C5:C6"/>
    <mergeCell ref="D5:D6"/>
    <mergeCell ref="E5:E6"/>
    <mergeCell ref="AY5:AY6"/>
    <mergeCell ref="AZ5:AZ6"/>
    <mergeCell ref="BA5:BA6"/>
    <mergeCell ref="AS5:AS6"/>
    <mergeCell ref="AT5:AT6"/>
    <mergeCell ref="AI5:AI6"/>
    <mergeCell ref="BD5:BD6"/>
    <mergeCell ref="BE5:BE6"/>
    <mergeCell ref="AE4:AK4"/>
  </mergeCells>
  <phoneticPr fontId="2" type="noConversion"/>
  <printOptions horizontalCentered="1" verticalCentered="1"/>
  <pageMargins left="0.15748031496062992" right="0.27559055118110237" top="0.47244094488188981" bottom="0.19685039370078741" header="0.23622047244094491" footer="0.15748031496062992"/>
  <pageSetup paperSize="9" scale="55" firstPageNumber="0" orientation="landscape" r:id="rId1"/>
  <headerFooter alignWithMargins="0">
    <oddHeader xml:space="preserve">&amp;CAbonyi Lajos Művelődési Ház, Könyvtár és Múzeumi Kiállítóhely&amp;R3. sz. melléklet
</oddHeader>
  </headerFooter>
  <colBreaks count="1" manualBreakCount="1">
    <brk id="64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49"/>
  <sheetViews>
    <sheetView view="pageBreakPreview" topLeftCell="A16" zoomScale="93" zoomScaleNormal="100" zoomScaleSheetLayoutView="93" workbookViewId="0">
      <selection activeCell="N38" sqref="N38"/>
    </sheetView>
  </sheetViews>
  <sheetFormatPr defaultColWidth="9.140625" defaultRowHeight="12.75" x14ac:dyDescent="0.2"/>
  <cols>
    <col min="1" max="1" width="3.140625" style="1" bestFit="1" customWidth="1"/>
    <col min="2" max="2" width="41.85546875" style="1" customWidth="1"/>
    <col min="3" max="3" width="12" style="1" bestFit="1" customWidth="1"/>
    <col min="4" max="7" width="9.42578125" style="1" customWidth="1"/>
    <col min="8" max="8" width="9.7109375" style="1" customWidth="1"/>
    <col min="9" max="9" width="8.7109375" style="1" customWidth="1"/>
    <col min="10" max="10" width="9.42578125" style="1" customWidth="1"/>
    <col min="11" max="11" width="10.42578125" style="4" customWidth="1"/>
    <col min="12" max="12" width="11.42578125" style="1" customWidth="1"/>
    <col min="13" max="13" width="9.28515625" style="1" customWidth="1"/>
    <col min="14" max="16384" width="9.140625" style="1"/>
  </cols>
  <sheetData>
    <row r="1" spans="1:12" ht="13.5" thickBot="1" x14ac:dyDescent="0.25">
      <c r="B1" s="430"/>
      <c r="C1" s="430"/>
      <c r="D1" s="430"/>
      <c r="E1" s="430"/>
      <c r="F1" s="430"/>
      <c r="G1" s="430"/>
      <c r="H1" s="430"/>
      <c r="I1" s="430"/>
      <c r="J1" s="430"/>
    </row>
    <row r="2" spans="1:12" ht="13.5" thickBot="1" x14ac:dyDescent="0.25">
      <c r="B2" s="295"/>
      <c r="J2" s="2" t="s">
        <v>0</v>
      </c>
      <c r="K2" s="2"/>
    </row>
    <row r="3" spans="1:12" ht="13.5" thickBot="1" x14ac:dyDescent="0.25">
      <c r="A3" s="539" t="s">
        <v>1</v>
      </c>
      <c r="B3" s="540"/>
      <c r="C3" s="553" t="s">
        <v>82</v>
      </c>
      <c r="D3" s="528"/>
      <c r="E3" s="528"/>
      <c r="F3" s="528"/>
      <c r="G3" s="528"/>
      <c r="H3" s="528"/>
      <c r="I3" s="528"/>
      <c r="J3" s="528"/>
      <c r="K3" s="528"/>
      <c r="L3" s="528"/>
    </row>
    <row r="4" spans="1:12" s="3" customFormat="1" ht="32.25" customHeight="1" x14ac:dyDescent="0.2">
      <c r="A4" s="541"/>
      <c r="B4" s="561"/>
      <c r="C4" s="563" t="s">
        <v>88</v>
      </c>
      <c r="D4" s="564"/>
      <c r="E4" s="564"/>
      <c r="F4" s="564"/>
      <c r="G4" s="565"/>
      <c r="H4" s="554" t="s">
        <v>60</v>
      </c>
      <c r="I4" s="555"/>
      <c r="J4" s="555"/>
      <c r="K4" s="555"/>
      <c r="L4" s="556"/>
    </row>
    <row r="5" spans="1:12" ht="12.75" customHeight="1" x14ac:dyDescent="0.2">
      <c r="A5" s="541"/>
      <c r="B5" s="561"/>
      <c r="C5" s="570" t="s">
        <v>36</v>
      </c>
      <c r="D5" s="562" t="s">
        <v>131</v>
      </c>
      <c r="E5" s="562" t="s">
        <v>168</v>
      </c>
      <c r="F5" s="566" t="s">
        <v>176</v>
      </c>
      <c r="G5" s="568" t="s">
        <v>177</v>
      </c>
      <c r="H5" s="570" t="s">
        <v>36</v>
      </c>
      <c r="I5" s="562" t="s">
        <v>131</v>
      </c>
      <c r="J5" s="562" t="s">
        <v>175</v>
      </c>
      <c r="K5" s="557" t="s">
        <v>176</v>
      </c>
      <c r="L5" s="559" t="s">
        <v>177</v>
      </c>
    </row>
    <row r="6" spans="1:12" x14ac:dyDescent="0.2">
      <c r="A6" s="541"/>
      <c r="B6" s="561"/>
      <c r="C6" s="570"/>
      <c r="D6" s="562"/>
      <c r="E6" s="562"/>
      <c r="F6" s="567"/>
      <c r="G6" s="569"/>
      <c r="H6" s="570"/>
      <c r="I6" s="562"/>
      <c r="J6" s="562"/>
      <c r="K6" s="558"/>
      <c r="L6" s="560"/>
    </row>
    <row r="7" spans="1:12" ht="13.5" thickBot="1" x14ac:dyDescent="0.25">
      <c r="A7" s="571">
        <v>1</v>
      </c>
      <c r="B7" s="572"/>
      <c r="C7" s="251">
        <v>5</v>
      </c>
      <c r="D7" s="252">
        <v>6</v>
      </c>
      <c r="E7" s="252">
        <v>7</v>
      </c>
      <c r="F7" s="252"/>
      <c r="G7" s="298"/>
      <c r="H7" s="251">
        <v>8</v>
      </c>
      <c r="I7" s="252">
        <v>9</v>
      </c>
      <c r="J7" s="252">
        <v>10</v>
      </c>
      <c r="K7" s="15"/>
      <c r="L7" s="249"/>
    </row>
    <row r="8" spans="1:12" ht="12.75" customHeight="1" x14ac:dyDescent="0.2">
      <c r="A8" s="497" t="s">
        <v>57</v>
      </c>
      <c r="B8" s="498"/>
      <c r="C8" s="37"/>
      <c r="D8" s="15"/>
      <c r="E8" s="15"/>
      <c r="F8" s="15"/>
      <c r="G8" s="16"/>
      <c r="H8" s="37"/>
      <c r="I8" s="38"/>
      <c r="J8" s="38"/>
      <c r="K8" s="15"/>
      <c r="L8" s="249"/>
    </row>
    <row r="9" spans="1:12" ht="12.75" customHeight="1" x14ac:dyDescent="0.2">
      <c r="A9" s="21" t="s">
        <v>2</v>
      </c>
      <c r="B9" s="65" t="s">
        <v>3</v>
      </c>
      <c r="C9" s="44">
        <v>6183120</v>
      </c>
      <c r="D9" s="52"/>
      <c r="E9" s="52">
        <f>SUM(C9:D9)</f>
        <v>6183120</v>
      </c>
      <c r="F9" s="15">
        <v>-9</v>
      </c>
      <c r="G9" s="16">
        <v>6174</v>
      </c>
      <c r="H9" s="44">
        <f>C9</f>
        <v>6183120</v>
      </c>
      <c r="I9" s="15">
        <f>D9</f>
        <v>0</v>
      </c>
      <c r="J9" s="15">
        <f>SUM(H9:I9)/1000</f>
        <v>6183.12</v>
      </c>
      <c r="K9" s="15">
        <f>F9</f>
        <v>-9</v>
      </c>
      <c r="L9" s="16">
        <f>SUM(J9:K9)</f>
        <v>6174.12</v>
      </c>
    </row>
    <row r="10" spans="1:12" ht="24" customHeight="1" x14ac:dyDescent="0.2">
      <c r="A10" s="21" t="s">
        <v>4</v>
      </c>
      <c r="B10" s="66" t="s">
        <v>39</v>
      </c>
      <c r="C10" s="44">
        <v>1218463</v>
      </c>
      <c r="D10" s="52"/>
      <c r="E10" s="52">
        <f t="shared" ref="E10:E39" si="0">SUM(C10:D10)</f>
        <v>1218463</v>
      </c>
      <c r="F10" s="15">
        <v>9</v>
      </c>
      <c r="G10" s="16">
        <v>1227</v>
      </c>
      <c r="H10" s="44">
        <f t="shared" ref="H10:H37" si="1">C10</f>
        <v>1218463</v>
      </c>
      <c r="I10" s="15">
        <f t="shared" ref="I10:I39" si="2">D10</f>
        <v>0</v>
      </c>
      <c r="J10" s="15">
        <f t="shared" ref="J10:J37" si="3">SUM(H10:I10)/1000</f>
        <v>1218.463</v>
      </c>
      <c r="K10" s="15">
        <f t="shared" ref="K10:K39" si="4">F10</f>
        <v>9</v>
      </c>
      <c r="L10" s="16">
        <f t="shared" ref="L10:L38" si="5">SUM(J10:K10)</f>
        <v>1227.463</v>
      </c>
    </row>
    <row r="11" spans="1:12" ht="12.75" customHeight="1" x14ac:dyDescent="0.2">
      <c r="A11" s="21" t="s">
        <v>5</v>
      </c>
      <c r="B11" s="65" t="s">
        <v>71</v>
      </c>
      <c r="C11" s="44">
        <v>10785200</v>
      </c>
      <c r="D11" s="52">
        <v>48000</v>
      </c>
      <c r="E11" s="52">
        <f t="shared" si="0"/>
        <v>10833200</v>
      </c>
      <c r="F11" s="15">
        <v>326</v>
      </c>
      <c r="G11" s="16">
        <v>11160</v>
      </c>
      <c r="H11" s="44">
        <f t="shared" si="1"/>
        <v>10785200</v>
      </c>
      <c r="I11" s="15">
        <v>48</v>
      </c>
      <c r="J11" s="15">
        <v>10833</v>
      </c>
      <c r="K11" s="15">
        <f t="shared" si="4"/>
        <v>326</v>
      </c>
      <c r="L11" s="16">
        <f t="shared" si="5"/>
        <v>11159</v>
      </c>
    </row>
    <row r="12" spans="1:12" ht="12.75" customHeight="1" x14ac:dyDescent="0.2">
      <c r="A12" s="21" t="s">
        <v>6</v>
      </c>
      <c r="B12" s="65" t="s">
        <v>41</v>
      </c>
      <c r="C12" s="44">
        <v>0</v>
      </c>
      <c r="D12" s="52"/>
      <c r="E12" s="52">
        <f t="shared" si="0"/>
        <v>0</v>
      </c>
      <c r="F12" s="15"/>
      <c r="G12" s="16"/>
      <c r="H12" s="44">
        <f t="shared" si="1"/>
        <v>0</v>
      </c>
      <c r="I12" s="15">
        <f t="shared" si="2"/>
        <v>0</v>
      </c>
      <c r="J12" s="15">
        <f t="shared" si="3"/>
        <v>0</v>
      </c>
      <c r="K12" s="15">
        <f t="shared" si="4"/>
        <v>0</v>
      </c>
      <c r="L12" s="16">
        <f t="shared" si="5"/>
        <v>0</v>
      </c>
    </row>
    <row r="13" spans="1:12" ht="12.75" customHeight="1" x14ac:dyDescent="0.2">
      <c r="A13" s="21" t="s">
        <v>7</v>
      </c>
      <c r="B13" s="65" t="s">
        <v>42</v>
      </c>
      <c r="C13" s="44">
        <v>0</v>
      </c>
      <c r="D13" s="52"/>
      <c r="E13" s="52">
        <f t="shared" si="0"/>
        <v>0</v>
      </c>
      <c r="F13" s="15"/>
      <c r="G13" s="16"/>
      <c r="H13" s="44">
        <f t="shared" si="1"/>
        <v>0</v>
      </c>
      <c r="I13" s="15">
        <f t="shared" si="2"/>
        <v>0</v>
      </c>
      <c r="J13" s="15">
        <f t="shared" si="3"/>
        <v>0</v>
      </c>
      <c r="K13" s="15">
        <f t="shared" si="4"/>
        <v>0</v>
      </c>
      <c r="L13" s="16">
        <f t="shared" si="5"/>
        <v>0</v>
      </c>
    </row>
    <row r="14" spans="1:12" s="24" customFormat="1" ht="12.75" customHeight="1" x14ac:dyDescent="0.2">
      <c r="A14" s="28" t="s">
        <v>8</v>
      </c>
      <c r="B14" s="67" t="s">
        <v>72</v>
      </c>
      <c r="C14" s="151"/>
      <c r="D14" s="54"/>
      <c r="E14" s="52">
        <f t="shared" si="0"/>
        <v>0</v>
      </c>
      <c r="F14" s="15"/>
      <c r="G14" s="16"/>
      <c r="H14" s="44">
        <f t="shared" si="1"/>
        <v>0</v>
      </c>
      <c r="I14" s="15">
        <f t="shared" si="2"/>
        <v>0</v>
      </c>
      <c r="J14" s="15">
        <f t="shared" si="3"/>
        <v>0</v>
      </c>
      <c r="K14" s="15">
        <f t="shared" si="4"/>
        <v>0</v>
      </c>
      <c r="L14" s="16">
        <f t="shared" si="5"/>
        <v>0</v>
      </c>
    </row>
    <row r="15" spans="1:12" s="7" customFormat="1" ht="12.75" customHeight="1" x14ac:dyDescent="0.2">
      <c r="A15" s="20" t="s">
        <v>9</v>
      </c>
      <c r="B15" s="68" t="s">
        <v>43</v>
      </c>
      <c r="C15" s="90">
        <f>C9+C10+C11+C12+C13</f>
        <v>18186783</v>
      </c>
      <c r="D15" s="26">
        <f>SUM(D11)</f>
        <v>48000</v>
      </c>
      <c r="E15" s="52">
        <f t="shared" si="0"/>
        <v>18234783</v>
      </c>
      <c r="F15" s="15">
        <v>326</v>
      </c>
      <c r="G15" s="16">
        <f>SUM(G9:G14)</f>
        <v>18561</v>
      </c>
      <c r="H15" s="60">
        <f t="shared" si="1"/>
        <v>18186783</v>
      </c>
      <c r="I15" s="15">
        <f>SUM(I9:I14)</f>
        <v>48</v>
      </c>
      <c r="J15" s="15">
        <v>18235</v>
      </c>
      <c r="K15" s="15">
        <f t="shared" si="4"/>
        <v>326</v>
      </c>
      <c r="L15" s="16">
        <f t="shared" si="5"/>
        <v>18561</v>
      </c>
    </row>
    <row r="16" spans="1:12" ht="12.75" customHeight="1" x14ac:dyDescent="0.2">
      <c r="A16" s="21" t="s">
        <v>10</v>
      </c>
      <c r="B16" s="65" t="s">
        <v>44</v>
      </c>
      <c r="C16" s="115">
        <v>127000</v>
      </c>
      <c r="D16" s="27"/>
      <c r="E16" s="52">
        <f t="shared" si="0"/>
        <v>127000</v>
      </c>
      <c r="F16" s="15"/>
      <c r="G16" s="16">
        <v>127</v>
      </c>
      <c r="H16" s="44">
        <f t="shared" si="1"/>
        <v>127000</v>
      </c>
      <c r="I16" s="15">
        <f t="shared" si="2"/>
        <v>0</v>
      </c>
      <c r="J16" s="15">
        <f t="shared" si="3"/>
        <v>127</v>
      </c>
      <c r="K16" s="15">
        <f t="shared" si="4"/>
        <v>0</v>
      </c>
      <c r="L16" s="16">
        <f t="shared" si="5"/>
        <v>127</v>
      </c>
    </row>
    <row r="17" spans="1:12" ht="12.75" customHeight="1" x14ac:dyDescent="0.2">
      <c r="A17" s="21" t="s">
        <v>11</v>
      </c>
      <c r="B17" s="65" t="s">
        <v>45</v>
      </c>
      <c r="C17" s="115">
        <f>'[4]2016 ktgv kiadás_01'!$G$212</f>
        <v>0</v>
      </c>
      <c r="D17" s="27"/>
      <c r="E17" s="52">
        <f t="shared" si="0"/>
        <v>0</v>
      </c>
      <c r="F17" s="15"/>
      <c r="G17" s="16"/>
      <c r="H17" s="44">
        <f t="shared" si="1"/>
        <v>0</v>
      </c>
      <c r="I17" s="15">
        <f t="shared" si="2"/>
        <v>0</v>
      </c>
      <c r="J17" s="15">
        <f t="shared" si="3"/>
        <v>0</v>
      </c>
      <c r="K17" s="15">
        <f t="shared" si="4"/>
        <v>0</v>
      </c>
      <c r="L17" s="16">
        <f t="shared" si="5"/>
        <v>0</v>
      </c>
    </row>
    <row r="18" spans="1:12" ht="12.75" customHeight="1" x14ac:dyDescent="0.2">
      <c r="A18" s="21" t="s">
        <v>12</v>
      </c>
      <c r="B18" s="65" t="s">
        <v>46</v>
      </c>
      <c r="C18" s="115">
        <f>'[4]2016 ktgv kiadás_01'!$G$222</f>
        <v>0</v>
      </c>
      <c r="D18" s="27"/>
      <c r="E18" s="52">
        <f t="shared" si="0"/>
        <v>0</v>
      </c>
      <c r="F18" s="15"/>
      <c r="G18" s="16"/>
      <c r="H18" s="44">
        <f t="shared" si="1"/>
        <v>0</v>
      </c>
      <c r="I18" s="15">
        <f t="shared" si="2"/>
        <v>0</v>
      </c>
      <c r="J18" s="15">
        <f t="shared" si="3"/>
        <v>0</v>
      </c>
      <c r="K18" s="15">
        <f t="shared" si="4"/>
        <v>0</v>
      </c>
      <c r="L18" s="16">
        <f t="shared" si="5"/>
        <v>0</v>
      </c>
    </row>
    <row r="19" spans="1:12" s="7" customFormat="1" ht="12.75" customHeight="1" x14ac:dyDescent="0.2">
      <c r="A19" s="20" t="s">
        <v>13</v>
      </c>
      <c r="B19" s="68" t="s">
        <v>47</v>
      </c>
      <c r="C19" s="90">
        <f>C16+C17+C18</f>
        <v>127000</v>
      </c>
      <c r="D19" s="26"/>
      <c r="E19" s="52">
        <f t="shared" si="0"/>
        <v>127000</v>
      </c>
      <c r="F19" s="15"/>
      <c r="G19" s="16">
        <v>127</v>
      </c>
      <c r="H19" s="60">
        <f t="shared" si="1"/>
        <v>127000</v>
      </c>
      <c r="I19" s="15">
        <f t="shared" si="2"/>
        <v>0</v>
      </c>
      <c r="J19" s="15">
        <f t="shared" si="3"/>
        <v>127</v>
      </c>
      <c r="K19" s="15">
        <f t="shared" si="4"/>
        <v>0</v>
      </c>
      <c r="L19" s="16">
        <f t="shared" si="5"/>
        <v>127</v>
      </c>
    </row>
    <row r="20" spans="1:12" s="7" customFormat="1" ht="12.75" customHeight="1" x14ac:dyDescent="0.2">
      <c r="A20" s="20" t="s">
        <v>14</v>
      </c>
      <c r="B20" s="68" t="s">
        <v>73</v>
      </c>
      <c r="C20" s="89">
        <v>0</v>
      </c>
      <c r="D20" s="34"/>
      <c r="E20" s="52">
        <f t="shared" si="0"/>
        <v>0</v>
      </c>
      <c r="F20" s="15"/>
      <c r="G20" s="16"/>
      <c r="H20" s="61">
        <f t="shared" si="1"/>
        <v>0</v>
      </c>
      <c r="I20" s="15">
        <f t="shared" si="2"/>
        <v>0</v>
      </c>
      <c r="J20" s="15">
        <f t="shared" si="3"/>
        <v>0</v>
      </c>
      <c r="K20" s="15">
        <f t="shared" si="4"/>
        <v>0</v>
      </c>
      <c r="L20" s="16">
        <f t="shared" si="5"/>
        <v>0</v>
      </c>
    </row>
    <row r="21" spans="1:12" s="24" customFormat="1" ht="12.75" customHeight="1" x14ac:dyDescent="0.2">
      <c r="A21" s="28" t="s">
        <v>15</v>
      </c>
      <c r="B21" s="67" t="s">
        <v>77</v>
      </c>
      <c r="C21" s="88">
        <v>0</v>
      </c>
      <c r="D21" s="36"/>
      <c r="E21" s="52">
        <f t="shared" si="0"/>
        <v>0</v>
      </c>
      <c r="F21" s="15"/>
      <c r="G21" s="16"/>
      <c r="H21" s="37">
        <f t="shared" si="1"/>
        <v>0</v>
      </c>
      <c r="I21" s="15">
        <f t="shared" si="2"/>
        <v>0</v>
      </c>
      <c r="J21" s="15">
        <f t="shared" si="3"/>
        <v>0</v>
      </c>
      <c r="K21" s="15">
        <f t="shared" si="4"/>
        <v>0</v>
      </c>
      <c r="L21" s="16">
        <f t="shared" si="5"/>
        <v>0</v>
      </c>
    </row>
    <row r="22" spans="1:12" s="7" customFormat="1" ht="12.75" customHeight="1" x14ac:dyDescent="0.2">
      <c r="A22" s="20" t="s">
        <v>16</v>
      </c>
      <c r="B22" s="68" t="s">
        <v>48</v>
      </c>
      <c r="C22" s="90">
        <f>C20+C19+C15</f>
        <v>18313783</v>
      </c>
      <c r="D22" s="26">
        <f>SUM(D15)</f>
        <v>48000</v>
      </c>
      <c r="E22" s="52">
        <f t="shared" si="0"/>
        <v>18361783</v>
      </c>
      <c r="F22" s="15">
        <v>326</v>
      </c>
      <c r="G22" s="16">
        <v>18688</v>
      </c>
      <c r="H22" s="90">
        <f>H20+H19+H15</f>
        <v>18313783</v>
      </c>
      <c r="I22" s="15">
        <f>SUM(I15)</f>
        <v>48</v>
      </c>
      <c r="J22" s="15">
        <v>18362</v>
      </c>
      <c r="K22" s="15">
        <f t="shared" si="4"/>
        <v>326</v>
      </c>
      <c r="L22" s="16">
        <f t="shared" si="5"/>
        <v>18688</v>
      </c>
    </row>
    <row r="23" spans="1:12" ht="12.75" customHeight="1" x14ac:dyDescent="0.2">
      <c r="A23" s="497" t="s">
        <v>55</v>
      </c>
      <c r="B23" s="498"/>
      <c r="C23" s="87"/>
      <c r="D23" s="17"/>
      <c r="E23" s="52">
        <f t="shared" si="0"/>
        <v>0</v>
      </c>
      <c r="F23" s="15"/>
      <c r="G23" s="16"/>
      <c r="H23" s="37"/>
      <c r="I23" s="15">
        <f t="shared" si="2"/>
        <v>0</v>
      </c>
      <c r="J23" s="15">
        <f t="shared" si="3"/>
        <v>0</v>
      </c>
      <c r="K23" s="15">
        <f t="shared" si="4"/>
        <v>0</v>
      </c>
      <c r="L23" s="16">
        <f t="shared" si="5"/>
        <v>0</v>
      </c>
    </row>
    <row r="24" spans="1:12" ht="12.75" customHeight="1" x14ac:dyDescent="0.2">
      <c r="A24" s="21" t="s">
        <v>17</v>
      </c>
      <c r="B24" s="65" t="s">
        <v>78</v>
      </c>
      <c r="C24" s="87">
        <f>'[4]2016 ktgv bevétel_02'!$G$19</f>
        <v>0</v>
      </c>
      <c r="D24" s="17"/>
      <c r="E24" s="52">
        <f t="shared" si="0"/>
        <v>0</v>
      </c>
      <c r="F24" s="15"/>
      <c r="G24" s="16"/>
      <c r="H24" s="37">
        <f t="shared" si="1"/>
        <v>0</v>
      </c>
      <c r="I24" s="15">
        <f t="shared" si="2"/>
        <v>0</v>
      </c>
      <c r="J24" s="15">
        <f t="shared" si="3"/>
        <v>0</v>
      </c>
      <c r="K24" s="15">
        <f t="shared" si="4"/>
        <v>0</v>
      </c>
      <c r="L24" s="16">
        <f t="shared" si="5"/>
        <v>0</v>
      </c>
    </row>
    <row r="25" spans="1:12" ht="12.75" customHeight="1" x14ac:dyDescent="0.2">
      <c r="A25" s="21" t="s">
        <v>18</v>
      </c>
      <c r="B25" s="67" t="s">
        <v>79</v>
      </c>
      <c r="C25" s="87">
        <v>0</v>
      </c>
      <c r="D25" s="17"/>
      <c r="E25" s="52">
        <f t="shared" si="0"/>
        <v>0</v>
      </c>
      <c r="F25" s="15"/>
      <c r="G25" s="16"/>
      <c r="H25" s="37">
        <f t="shared" si="1"/>
        <v>0</v>
      </c>
      <c r="I25" s="15">
        <f t="shared" si="2"/>
        <v>0</v>
      </c>
      <c r="J25" s="15">
        <f t="shared" si="3"/>
        <v>0</v>
      </c>
      <c r="K25" s="15">
        <f t="shared" si="4"/>
        <v>0</v>
      </c>
      <c r="L25" s="16">
        <f t="shared" si="5"/>
        <v>0</v>
      </c>
    </row>
    <row r="26" spans="1:12" ht="12.75" customHeight="1" x14ac:dyDescent="0.2">
      <c r="A26" s="21" t="s">
        <v>19</v>
      </c>
      <c r="B26" s="65" t="s">
        <v>40</v>
      </c>
      <c r="C26" s="87">
        <v>0</v>
      </c>
      <c r="D26" s="17"/>
      <c r="E26" s="52">
        <f t="shared" si="0"/>
        <v>0</v>
      </c>
      <c r="F26" s="15"/>
      <c r="G26" s="16"/>
      <c r="H26" s="37">
        <f t="shared" si="1"/>
        <v>0</v>
      </c>
      <c r="I26" s="15">
        <f t="shared" si="2"/>
        <v>0</v>
      </c>
      <c r="J26" s="15">
        <f t="shared" si="3"/>
        <v>0</v>
      </c>
      <c r="K26" s="15">
        <f t="shared" si="4"/>
        <v>0</v>
      </c>
      <c r="L26" s="16">
        <f t="shared" si="5"/>
        <v>0</v>
      </c>
    </row>
    <row r="27" spans="1:12" ht="12.75" customHeight="1" x14ac:dyDescent="0.2">
      <c r="A27" s="21" t="s">
        <v>20</v>
      </c>
      <c r="B27" s="65" t="s">
        <v>49</v>
      </c>
      <c r="C27" s="44">
        <v>5500000</v>
      </c>
      <c r="D27" s="15"/>
      <c r="E27" s="52">
        <f t="shared" si="0"/>
        <v>5500000</v>
      </c>
      <c r="F27" s="15">
        <v>326</v>
      </c>
      <c r="G27" s="16">
        <v>5826</v>
      </c>
      <c r="H27" s="44">
        <v>5500000</v>
      </c>
      <c r="I27" s="15">
        <f t="shared" si="2"/>
        <v>0</v>
      </c>
      <c r="J27" s="15">
        <f t="shared" si="3"/>
        <v>5500</v>
      </c>
      <c r="K27" s="15">
        <f t="shared" si="4"/>
        <v>326</v>
      </c>
      <c r="L27" s="16">
        <f t="shared" si="5"/>
        <v>5826</v>
      </c>
    </row>
    <row r="28" spans="1:12" ht="12.75" customHeight="1" x14ac:dyDescent="0.2">
      <c r="A28" s="21" t="s">
        <v>21</v>
      </c>
      <c r="B28" s="65" t="s">
        <v>50</v>
      </c>
      <c r="C28" s="44">
        <v>0</v>
      </c>
      <c r="D28" s="15"/>
      <c r="E28" s="52">
        <f t="shared" si="0"/>
        <v>0</v>
      </c>
      <c r="F28" s="15"/>
      <c r="G28" s="16"/>
      <c r="H28" s="44">
        <f t="shared" si="1"/>
        <v>0</v>
      </c>
      <c r="I28" s="15">
        <f t="shared" si="2"/>
        <v>0</v>
      </c>
      <c r="J28" s="15">
        <f t="shared" si="3"/>
        <v>0</v>
      </c>
      <c r="K28" s="15">
        <f t="shared" si="4"/>
        <v>0</v>
      </c>
      <c r="L28" s="16">
        <f t="shared" si="5"/>
        <v>0</v>
      </c>
    </row>
    <row r="29" spans="1:12" s="7" customFormat="1" ht="12.75" customHeight="1" x14ac:dyDescent="0.2">
      <c r="A29" s="20" t="s">
        <v>22</v>
      </c>
      <c r="B29" s="68" t="s">
        <v>51</v>
      </c>
      <c r="C29" s="60">
        <f>C24+C26+C27+C28</f>
        <v>5500000</v>
      </c>
      <c r="D29" s="38"/>
      <c r="E29" s="52">
        <f t="shared" si="0"/>
        <v>5500000</v>
      </c>
      <c r="F29" s="15">
        <v>326</v>
      </c>
      <c r="G29" s="16">
        <v>5826</v>
      </c>
      <c r="H29" s="60">
        <f>H24+H26+H27+H28</f>
        <v>5500000</v>
      </c>
      <c r="I29" s="15">
        <f t="shared" si="2"/>
        <v>0</v>
      </c>
      <c r="J29" s="15">
        <f t="shared" si="3"/>
        <v>5500</v>
      </c>
      <c r="K29" s="15">
        <f t="shared" si="4"/>
        <v>326</v>
      </c>
      <c r="L29" s="16">
        <f t="shared" si="5"/>
        <v>5826</v>
      </c>
    </row>
    <row r="30" spans="1:12" ht="12.75" customHeight="1" x14ac:dyDescent="0.2">
      <c r="A30" s="21" t="s">
        <v>23</v>
      </c>
      <c r="B30" s="65" t="s">
        <v>80</v>
      </c>
      <c r="C30" s="37">
        <v>0</v>
      </c>
      <c r="D30" s="15"/>
      <c r="E30" s="52">
        <f t="shared" si="0"/>
        <v>0</v>
      </c>
      <c r="F30" s="15"/>
      <c r="G30" s="16"/>
      <c r="H30" s="37">
        <f t="shared" si="1"/>
        <v>0</v>
      </c>
      <c r="I30" s="15">
        <f t="shared" si="2"/>
        <v>0</v>
      </c>
      <c r="J30" s="15">
        <f t="shared" si="3"/>
        <v>0</v>
      </c>
      <c r="K30" s="15">
        <f t="shared" si="4"/>
        <v>0</v>
      </c>
      <c r="L30" s="16">
        <f t="shared" si="5"/>
        <v>0</v>
      </c>
    </row>
    <row r="31" spans="1:12" ht="12.75" customHeight="1" x14ac:dyDescent="0.2">
      <c r="A31" s="21" t="s">
        <v>24</v>
      </c>
      <c r="B31" s="65" t="s">
        <v>52</v>
      </c>
      <c r="C31" s="37">
        <v>0</v>
      </c>
      <c r="D31" s="15"/>
      <c r="E31" s="52">
        <f t="shared" si="0"/>
        <v>0</v>
      </c>
      <c r="F31" s="15"/>
      <c r="G31" s="16"/>
      <c r="H31" s="37">
        <f t="shared" si="1"/>
        <v>0</v>
      </c>
      <c r="I31" s="15">
        <f t="shared" si="2"/>
        <v>0</v>
      </c>
      <c r="J31" s="15">
        <f t="shared" si="3"/>
        <v>0</v>
      </c>
      <c r="K31" s="15">
        <f t="shared" si="4"/>
        <v>0</v>
      </c>
      <c r="L31" s="16">
        <f t="shared" si="5"/>
        <v>0</v>
      </c>
    </row>
    <row r="32" spans="1:12" s="7" customFormat="1" ht="12.75" customHeight="1" x14ac:dyDescent="0.2">
      <c r="A32" s="21" t="s">
        <v>25</v>
      </c>
      <c r="B32" s="65" t="s">
        <v>53</v>
      </c>
      <c r="C32" s="37">
        <v>0</v>
      </c>
      <c r="D32" s="292"/>
      <c r="E32" s="52">
        <f t="shared" si="0"/>
        <v>0</v>
      </c>
      <c r="F32" s="15"/>
      <c r="G32" s="16"/>
      <c r="H32" s="37">
        <f t="shared" si="1"/>
        <v>0</v>
      </c>
      <c r="I32" s="15">
        <f t="shared" si="2"/>
        <v>0</v>
      </c>
      <c r="J32" s="15">
        <f t="shared" si="3"/>
        <v>0</v>
      </c>
      <c r="K32" s="15">
        <f t="shared" si="4"/>
        <v>0</v>
      </c>
      <c r="L32" s="16">
        <f t="shared" si="5"/>
        <v>0</v>
      </c>
    </row>
    <row r="33" spans="1:27" s="7" customFormat="1" ht="12.75" customHeight="1" x14ac:dyDescent="0.2">
      <c r="A33" s="20" t="s">
        <v>26</v>
      </c>
      <c r="B33" s="68" t="s">
        <v>54</v>
      </c>
      <c r="C33" s="61">
        <f>C30+C31+C32</f>
        <v>0</v>
      </c>
      <c r="D33" s="38"/>
      <c r="E33" s="52">
        <f t="shared" si="0"/>
        <v>0</v>
      </c>
      <c r="F33" s="15"/>
      <c r="G33" s="16"/>
      <c r="H33" s="61">
        <f>H30+H31+H32</f>
        <v>0</v>
      </c>
      <c r="I33" s="15">
        <f t="shared" si="2"/>
        <v>0</v>
      </c>
      <c r="J33" s="15">
        <f t="shared" si="3"/>
        <v>0</v>
      </c>
      <c r="K33" s="15">
        <f t="shared" si="4"/>
        <v>0</v>
      </c>
      <c r="L33" s="16">
        <f t="shared" si="5"/>
        <v>0</v>
      </c>
    </row>
    <row r="34" spans="1:27" s="7" customFormat="1" ht="12.75" customHeight="1" x14ac:dyDescent="0.2">
      <c r="A34" s="20" t="s">
        <v>27</v>
      </c>
      <c r="B34" s="68" t="s">
        <v>74</v>
      </c>
      <c r="C34" s="60">
        <v>12813783</v>
      </c>
      <c r="D34" s="51">
        <f>SUM(D35:D37)</f>
        <v>48000</v>
      </c>
      <c r="E34" s="52">
        <f t="shared" si="0"/>
        <v>12861783</v>
      </c>
      <c r="F34" s="15"/>
      <c r="G34" s="16">
        <v>12862</v>
      </c>
      <c r="H34" s="60">
        <f>H35+H36</f>
        <v>12813783</v>
      </c>
      <c r="I34" s="15">
        <v>48</v>
      </c>
      <c r="J34" s="15">
        <v>12862</v>
      </c>
      <c r="K34" s="15">
        <f t="shared" si="4"/>
        <v>0</v>
      </c>
      <c r="L34" s="16">
        <f t="shared" si="5"/>
        <v>12862</v>
      </c>
    </row>
    <row r="35" spans="1:27" s="29" customFormat="1" ht="12.75" customHeight="1" x14ac:dyDescent="0.2">
      <c r="A35" s="28" t="s">
        <v>28</v>
      </c>
      <c r="B35" s="67" t="s">
        <v>75</v>
      </c>
      <c r="C35" s="151">
        <v>10813783</v>
      </c>
      <c r="D35" s="54"/>
      <c r="E35" s="52">
        <f t="shared" si="0"/>
        <v>10813783</v>
      </c>
      <c r="F35" s="15"/>
      <c r="G35" s="16">
        <v>10814</v>
      </c>
      <c r="H35" s="44">
        <v>10813783</v>
      </c>
      <c r="I35" s="15">
        <f t="shared" si="2"/>
        <v>0</v>
      </c>
      <c r="J35" s="15">
        <f t="shared" si="3"/>
        <v>10813.782999999999</v>
      </c>
      <c r="K35" s="15">
        <f t="shared" si="4"/>
        <v>0</v>
      </c>
      <c r="L35" s="16">
        <f t="shared" si="5"/>
        <v>10813.782999999999</v>
      </c>
    </row>
    <row r="36" spans="1:27" s="24" customFormat="1" ht="12.75" customHeight="1" x14ac:dyDescent="0.2">
      <c r="A36" s="28" t="s">
        <v>29</v>
      </c>
      <c r="B36" s="67" t="s">
        <v>81</v>
      </c>
      <c r="C36" s="151">
        <v>2000000</v>
      </c>
      <c r="D36" s="54">
        <v>48000</v>
      </c>
      <c r="E36" s="52">
        <f t="shared" si="0"/>
        <v>2048000</v>
      </c>
      <c r="F36" s="15"/>
      <c r="G36" s="16">
        <v>2048</v>
      </c>
      <c r="H36" s="44">
        <v>2000000</v>
      </c>
      <c r="I36" s="15">
        <v>48</v>
      </c>
      <c r="J36" s="15">
        <v>2048</v>
      </c>
      <c r="K36" s="15">
        <f t="shared" si="4"/>
        <v>0</v>
      </c>
      <c r="L36" s="16">
        <f t="shared" si="5"/>
        <v>2048</v>
      </c>
    </row>
    <row r="37" spans="1:27" s="24" customFormat="1" ht="12.75" customHeight="1" x14ac:dyDescent="0.2">
      <c r="A37" s="28" t="s">
        <v>30</v>
      </c>
      <c r="B37" s="67" t="s">
        <v>76</v>
      </c>
      <c r="C37" s="151">
        <v>0</v>
      </c>
      <c r="D37" s="293"/>
      <c r="E37" s="52">
        <f t="shared" si="0"/>
        <v>0</v>
      </c>
      <c r="F37" s="15"/>
      <c r="G37" s="16"/>
      <c r="H37" s="44">
        <f t="shared" si="1"/>
        <v>0</v>
      </c>
      <c r="I37" s="15">
        <f t="shared" si="2"/>
        <v>0</v>
      </c>
      <c r="J37" s="15">
        <f t="shared" si="3"/>
        <v>0</v>
      </c>
      <c r="K37" s="15">
        <f t="shared" si="4"/>
        <v>0</v>
      </c>
      <c r="L37" s="16">
        <f t="shared" si="5"/>
        <v>0</v>
      </c>
    </row>
    <row r="38" spans="1:27" s="7" customFormat="1" ht="12.75" customHeight="1" x14ac:dyDescent="0.2">
      <c r="A38" s="20" t="s">
        <v>31</v>
      </c>
      <c r="B38" s="68" t="s">
        <v>56</v>
      </c>
      <c r="C38" s="60">
        <f>C34+C33+C29</f>
        <v>18313783</v>
      </c>
      <c r="D38" s="294">
        <v>48000</v>
      </c>
      <c r="E38" s="52">
        <f t="shared" si="0"/>
        <v>18361783</v>
      </c>
      <c r="F38" s="15">
        <v>326</v>
      </c>
      <c r="G38" s="16">
        <v>18688</v>
      </c>
      <c r="H38" s="60">
        <f>H34+H33+H29</f>
        <v>18313783</v>
      </c>
      <c r="I38" s="15">
        <v>48</v>
      </c>
      <c r="J38" s="15">
        <v>18362</v>
      </c>
      <c r="K38" s="15">
        <f t="shared" si="4"/>
        <v>326</v>
      </c>
      <c r="L38" s="16">
        <f t="shared" si="5"/>
        <v>18688</v>
      </c>
    </row>
    <row r="39" spans="1:27" ht="12.75" customHeight="1" thickBot="1" x14ac:dyDescent="0.25">
      <c r="A39" s="23" t="s">
        <v>32</v>
      </c>
      <c r="B39" s="70" t="s">
        <v>33</v>
      </c>
      <c r="C39" s="296">
        <v>2</v>
      </c>
      <c r="D39" s="250"/>
      <c r="E39" s="250">
        <f t="shared" si="0"/>
        <v>2</v>
      </c>
      <c r="F39" s="250"/>
      <c r="G39" s="162"/>
      <c r="H39" s="296">
        <v>2</v>
      </c>
      <c r="I39" s="250">
        <f t="shared" si="2"/>
        <v>0</v>
      </c>
      <c r="J39" s="297" t="s">
        <v>132</v>
      </c>
      <c r="K39" s="15">
        <f t="shared" si="4"/>
        <v>0</v>
      </c>
      <c r="L39" s="16">
        <v>2</v>
      </c>
    </row>
    <row r="40" spans="1:27" x14ac:dyDescent="0.2">
      <c r="B40" s="2"/>
      <c r="C40" s="4"/>
      <c r="D40" s="4"/>
      <c r="E40" s="8"/>
      <c r="F40" s="8"/>
      <c r="G40" s="8"/>
      <c r="H40" s="4"/>
      <c r="I40" s="4"/>
      <c r="J40" s="8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x14ac:dyDescent="0.2">
      <c r="B41" s="2"/>
      <c r="C41" s="4"/>
      <c r="D41" s="4"/>
      <c r="E41" s="8"/>
      <c r="F41" s="8"/>
      <c r="G41" s="8"/>
      <c r="H41" s="4"/>
      <c r="I41" s="4"/>
      <c r="J41" s="8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x14ac:dyDescent="0.2">
      <c r="B42" s="2"/>
      <c r="C42" s="4"/>
      <c r="D42" s="4"/>
      <c r="E42" s="8"/>
      <c r="F42" s="8"/>
      <c r="G42" s="8"/>
      <c r="H42" s="4"/>
      <c r="I42" s="4"/>
      <c r="J42" s="8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x14ac:dyDescent="0.2">
      <c r="B43" s="2"/>
      <c r="C43" s="4"/>
      <c r="D43" s="4"/>
      <c r="E43" s="8"/>
      <c r="F43" s="8"/>
      <c r="G43" s="8"/>
      <c r="H43" s="4"/>
      <c r="I43" s="4"/>
      <c r="J43" s="8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x14ac:dyDescent="0.2">
      <c r="B44" s="2"/>
      <c r="C44" s="4"/>
      <c r="D44" s="4"/>
      <c r="E44" s="8"/>
      <c r="F44" s="8"/>
      <c r="G44" s="8"/>
      <c r="H44" s="4"/>
      <c r="I44" s="4"/>
      <c r="J44" s="8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x14ac:dyDescent="0.2">
      <c r="B45" s="2"/>
      <c r="C45" s="4"/>
      <c r="D45" s="4"/>
      <c r="E45" s="8"/>
      <c r="F45" s="8"/>
      <c r="G45" s="8"/>
      <c r="H45" s="4"/>
      <c r="I45" s="4"/>
      <c r="J45" s="8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x14ac:dyDescent="0.2">
      <c r="B46" s="2"/>
    </row>
    <row r="47" spans="1:27" x14ac:dyDescent="0.2">
      <c r="B47" s="2"/>
    </row>
    <row r="48" spans="1:27" x14ac:dyDescent="0.2">
      <c r="B48" s="2"/>
    </row>
    <row r="49" spans="2:2" x14ac:dyDescent="0.2">
      <c r="B49" s="2"/>
    </row>
  </sheetData>
  <mergeCells count="18">
    <mergeCell ref="A23:B23"/>
    <mergeCell ref="C5:C6"/>
    <mergeCell ref="D5:D6"/>
    <mergeCell ref="E5:E6"/>
    <mergeCell ref="H5:H6"/>
    <mergeCell ref="A8:B8"/>
    <mergeCell ref="A7:B7"/>
    <mergeCell ref="C3:L3"/>
    <mergeCell ref="H4:L4"/>
    <mergeCell ref="K5:K6"/>
    <mergeCell ref="L5:L6"/>
    <mergeCell ref="B1:J1"/>
    <mergeCell ref="A3:B6"/>
    <mergeCell ref="J5:J6"/>
    <mergeCell ref="I5:I6"/>
    <mergeCell ref="C4:G4"/>
    <mergeCell ref="F5:F6"/>
    <mergeCell ref="G5:G6"/>
  </mergeCells>
  <phoneticPr fontId="2" type="noConversion"/>
  <printOptions horizontalCentered="1"/>
  <pageMargins left="0.27559055118110237" right="0.27559055118110237" top="0.43307086614173229" bottom="0.27559055118110237" header="0.27559055118110237" footer="0.15748031496062992"/>
  <pageSetup paperSize="9" scale="77" firstPageNumber="0" orientation="landscape" r:id="rId1"/>
  <headerFooter alignWithMargins="0">
    <oddHeader xml:space="preserve">&amp;CSportcsarnok&amp;R3. sz. melléklet
</oddHeader>
  </headerFooter>
  <rowBreaks count="1" manualBreakCount="1">
    <brk id="41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45"/>
  <sheetViews>
    <sheetView topLeftCell="T10" zoomScale="85" zoomScaleNormal="85" zoomScaleSheetLayoutView="76" workbookViewId="0">
      <selection activeCell="N40" sqref="N40"/>
    </sheetView>
  </sheetViews>
  <sheetFormatPr defaultRowHeight="12.75" x14ac:dyDescent="0.2"/>
  <cols>
    <col min="1" max="1" width="3.140625" bestFit="1" customWidth="1"/>
    <col min="2" max="2" width="42.42578125" style="57" customWidth="1"/>
    <col min="3" max="3" width="12" customWidth="1"/>
    <col min="4" max="4" width="10.42578125" customWidth="1"/>
    <col min="5" max="5" width="10.7109375" customWidth="1"/>
    <col min="6" max="14" width="9.7109375" customWidth="1"/>
    <col min="15" max="15" width="10.85546875" style="1" customWidth="1"/>
    <col min="16" max="17" width="8.7109375" style="1" customWidth="1"/>
    <col min="18" max="25" width="10" customWidth="1"/>
    <col min="26" max="28" width="10.5703125" customWidth="1"/>
    <col min="29" max="29" width="13" bestFit="1" customWidth="1"/>
    <col min="32" max="33" width="9.42578125" customWidth="1"/>
    <col min="34" max="34" width="10.7109375" customWidth="1"/>
  </cols>
  <sheetData>
    <row r="1" spans="1:40" ht="13.5" thickBot="1" x14ac:dyDescent="0.25">
      <c r="O1"/>
      <c r="P1"/>
      <c r="Q1"/>
    </row>
    <row r="2" spans="1:40" ht="13.5" thickBot="1" x14ac:dyDescent="0.25">
      <c r="B2" s="335"/>
      <c r="P2" s="2"/>
      <c r="Q2" s="2"/>
      <c r="AF2" s="2" t="s">
        <v>0</v>
      </c>
    </row>
    <row r="3" spans="1:40" ht="13.5" thickBot="1" x14ac:dyDescent="0.25">
      <c r="A3" s="577" t="s">
        <v>1</v>
      </c>
      <c r="B3" s="578"/>
      <c r="C3" s="573">
        <v>685797</v>
      </c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574"/>
      <c r="AH3" s="574"/>
      <c r="AI3" s="574"/>
      <c r="AJ3" s="574"/>
      <c r="AK3" s="574"/>
      <c r="AL3" s="574"/>
    </row>
    <row r="4" spans="1:40" ht="47.25" customHeight="1" x14ac:dyDescent="0.2">
      <c r="A4" s="579"/>
      <c r="B4" s="580"/>
      <c r="C4" s="536" t="s">
        <v>146</v>
      </c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6" t="s">
        <v>95</v>
      </c>
      <c r="P4" s="537"/>
      <c r="Q4" s="537"/>
      <c r="R4" s="537"/>
      <c r="S4" s="537"/>
      <c r="T4" s="537"/>
      <c r="U4" s="537"/>
      <c r="V4" s="538"/>
      <c r="W4" s="552" t="s">
        <v>115</v>
      </c>
      <c r="X4" s="552"/>
      <c r="Y4" s="552"/>
      <c r="Z4" s="552"/>
      <c r="AA4" s="552"/>
      <c r="AB4" s="552"/>
      <c r="AC4" s="581" t="s">
        <v>61</v>
      </c>
      <c r="AD4" s="582"/>
      <c r="AE4" s="582"/>
      <c r="AF4" s="582"/>
      <c r="AG4" s="582"/>
      <c r="AH4" s="582"/>
      <c r="AI4" s="582"/>
      <c r="AJ4" s="582"/>
      <c r="AK4" s="582"/>
      <c r="AL4" s="582"/>
      <c r="AM4" s="582"/>
      <c r="AN4" s="583"/>
    </row>
    <row r="5" spans="1:40" ht="12.75" customHeight="1" x14ac:dyDescent="0.2">
      <c r="A5" s="579"/>
      <c r="B5" s="580"/>
      <c r="C5" s="450" t="s">
        <v>36</v>
      </c>
      <c r="D5" s="451" t="s">
        <v>131</v>
      </c>
      <c r="E5" s="451" t="s">
        <v>138</v>
      </c>
      <c r="F5" s="451" t="s">
        <v>139</v>
      </c>
      <c r="G5" s="451" t="s">
        <v>144</v>
      </c>
      <c r="H5" s="451" t="s">
        <v>145</v>
      </c>
      <c r="I5" s="451" t="s">
        <v>167</v>
      </c>
      <c r="J5" s="451" t="s">
        <v>167</v>
      </c>
      <c r="K5" s="451" t="s">
        <v>174</v>
      </c>
      <c r="L5" s="451" t="s">
        <v>175</v>
      </c>
      <c r="M5" s="464" t="s">
        <v>176</v>
      </c>
      <c r="N5" s="466" t="s">
        <v>177</v>
      </c>
      <c r="O5" s="450" t="s">
        <v>36</v>
      </c>
      <c r="P5" s="451" t="s">
        <v>131</v>
      </c>
      <c r="Q5" s="451" t="s">
        <v>138</v>
      </c>
      <c r="R5" s="451" t="s">
        <v>139</v>
      </c>
      <c r="S5" s="451" t="s">
        <v>144</v>
      </c>
      <c r="T5" s="451" t="s">
        <v>175</v>
      </c>
      <c r="U5" s="464" t="s">
        <v>176</v>
      </c>
      <c r="V5" s="460" t="s">
        <v>177</v>
      </c>
      <c r="W5" s="472" t="s">
        <v>36</v>
      </c>
      <c r="X5" s="451" t="s">
        <v>131</v>
      </c>
      <c r="Y5" s="451" t="s">
        <v>138</v>
      </c>
      <c r="Z5" s="451" t="s">
        <v>175</v>
      </c>
      <c r="AA5" s="464" t="s">
        <v>176</v>
      </c>
      <c r="AB5" s="466" t="s">
        <v>177</v>
      </c>
      <c r="AC5" s="450" t="s">
        <v>36</v>
      </c>
      <c r="AD5" s="451" t="s">
        <v>131</v>
      </c>
      <c r="AE5" s="451" t="s">
        <v>138</v>
      </c>
      <c r="AF5" s="451" t="s">
        <v>139</v>
      </c>
      <c r="AG5" s="575" t="s">
        <v>144</v>
      </c>
      <c r="AH5" s="459" t="s">
        <v>145</v>
      </c>
      <c r="AI5" s="575" t="s">
        <v>167</v>
      </c>
      <c r="AJ5" s="575" t="s">
        <v>168</v>
      </c>
      <c r="AK5" s="575" t="s">
        <v>174</v>
      </c>
      <c r="AL5" s="575" t="s">
        <v>175</v>
      </c>
      <c r="AM5" s="455" t="s">
        <v>176</v>
      </c>
      <c r="AN5" s="457" t="s">
        <v>177</v>
      </c>
    </row>
    <row r="6" spans="1:40" x14ac:dyDescent="0.2">
      <c r="A6" s="579"/>
      <c r="B6" s="580"/>
      <c r="C6" s="450"/>
      <c r="D6" s="451"/>
      <c r="E6" s="576"/>
      <c r="F6" s="451"/>
      <c r="G6" s="451"/>
      <c r="H6" s="451"/>
      <c r="I6" s="451"/>
      <c r="J6" s="451"/>
      <c r="K6" s="451"/>
      <c r="L6" s="451"/>
      <c r="M6" s="465"/>
      <c r="N6" s="467"/>
      <c r="O6" s="450"/>
      <c r="P6" s="451"/>
      <c r="Q6" s="576"/>
      <c r="R6" s="451"/>
      <c r="S6" s="451"/>
      <c r="T6" s="451"/>
      <c r="U6" s="465"/>
      <c r="V6" s="461"/>
      <c r="W6" s="472"/>
      <c r="X6" s="451"/>
      <c r="Y6" s="576"/>
      <c r="Z6" s="451"/>
      <c r="AA6" s="465"/>
      <c r="AB6" s="467"/>
      <c r="AC6" s="450"/>
      <c r="AD6" s="451"/>
      <c r="AE6" s="459"/>
      <c r="AF6" s="451"/>
      <c r="AG6" s="575"/>
      <c r="AH6" s="459"/>
      <c r="AI6" s="575"/>
      <c r="AJ6" s="575"/>
      <c r="AK6" s="575"/>
      <c r="AL6" s="575"/>
      <c r="AM6" s="456"/>
      <c r="AN6" s="458"/>
    </row>
    <row r="7" spans="1:40" x14ac:dyDescent="0.2">
      <c r="A7" s="534">
        <v>1</v>
      </c>
      <c r="B7" s="535"/>
      <c r="C7" s="328">
        <v>2</v>
      </c>
      <c r="D7" s="126">
        <v>3</v>
      </c>
      <c r="E7" s="126">
        <v>4</v>
      </c>
      <c r="F7" s="126">
        <v>5</v>
      </c>
      <c r="G7" s="126"/>
      <c r="H7" s="126"/>
      <c r="I7" s="126"/>
      <c r="J7" s="126"/>
      <c r="K7" s="126"/>
      <c r="L7" s="126"/>
      <c r="M7" s="126"/>
      <c r="N7" s="329"/>
      <c r="O7" s="328">
        <v>6</v>
      </c>
      <c r="P7" s="126">
        <v>7</v>
      </c>
      <c r="Q7" s="126">
        <v>8</v>
      </c>
      <c r="R7" s="126">
        <v>9</v>
      </c>
      <c r="S7" s="126"/>
      <c r="T7" s="126"/>
      <c r="U7" s="126"/>
      <c r="V7" s="22"/>
      <c r="W7" s="122">
        <v>10</v>
      </c>
      <c r="X7" s="126">
        <v>11</v>
      </c>
      <c r="Y7" s="126">
        <v>12</v>
      </c>
      <c r="Z7" s="126">
        <v>13</v>
      </c>
      <c r="AA7" s="126"/>
      <c r="AB7" s="329"/>
      <c r="AC7" s="345">
        <v>14</v>
      </c>
      <c r="AD7" s="346">
        <v>15</v>
      </c>
      <c r="AE7" s="346">
        <v>16</v>
      </c>
      <c r="AF7" s="346">
        <v>17</v>
      </c>
      <c r="AG7" s="117"/>
      <c r="AH7" s="117"/>
      <c r="AI7" s="117"/>
      <c r="AJ7" s="117"/>
      <c r="AK7" s="117"/>
      <c r="AL7" s="117"/>
      <c r="AM7" s="117"/>
      <c r="AN7" s="214"/>
    </row>
    <row r="8" spans="1:40" ht="12.75" customHeight="1" x14ac:dyDescent="0.2">
      <c r="A8" s="497" t="s">
        <v>57</v>
      </c>
      <c r="B8" s="498"/>
      <c r="C8" s="115"/>
      <c r="D8" s="27"/>
      <c r="E8" s="27"/>
      <c r="F8" s="27"/>
      <c r="G8" s="27"/>
      <c r="H8" s="27"/>
      <c r="I8" s="27"/>
      <c r="J8" s="27"/>
      <c r="K8" s="27"/>
      <c r="L8" s="27"/>
      <c r="M8" s="27"/>
      <c r="N8" s="344"/>
      <c r="O8" s="115"/>
      <c r="P8" s="27"/>
      <c r="Q8" s="27"/>
      <c r="R8" s="27"/>
      <c r="S8" s="27"/>
      <c r="T8" s="27"/>
      <c r="U8" s="27"/>
      <c r="V8" s="208"/>
      <c r="W8" s="84"/>
      <c r="X8" s="27"/>
      <c r="Y8" s="27"/>
      <c r="Z8" s="27"/>
      <c r="AA8" s="27"/>
      <c r="AB8" s="344"/>
      <c r="AC8" s="50"/>
      <c r="AD8" s="347"/>
      <c r="AE8" s="347"/>
      <c r="AF8" s="347"/>
      <c r="AG8" s="117"/>
      <c r="AH8" s="117"/>
      <c r="AI8" s="117"/>
      <c r="AJ8" s="117"/>
      <c r="AK8" s="117"/>
      <c r="AL8" s="117"/>
      <c r="AM8" s="117"/>
      <c r="AN8" s="214"/>
    </row>
    <row r="9" spans="1:40" ht="12.75" customHeight="1" x14ac:dyDescent="0.2">
      <c r="A9" s="21" t="s">
        <v>2</v>
      </c>
      <c r="B9" s="66" t="s">
        <v>3</v>
      </c>
      <c r="C9" s="115">
        <v>99115350</v>
      </c>
      <c r="D9" s="27">
        <v>44000</v>
      </c>
      <c r="E9" s="104">
        <v>1315440</v>
      </c>
      <c r="F9" s="27">
        <f>SUM(C9:D9)+E9</f>
        <v>100474790</v>
      </c>
      <c r="G9" s="17">
        <v>21</v>
      </c>
      <c r="H9" s="17">
        <v>100496</v>
      </c>
      <c r="I9" s="17">
        <v>11</v>
      </c>
      <c r="J9" s="17">
        <f>SUM(H9:I9)</f>
        <v>100507</v>
      </c>
      <c r="K9" s="17">
        <v>22</v>
      </c>
      <c r="L9" s="17">
        <f>SUM(J9:K9)</f>
        <v>100529</v>
      </c>
      <c r="M9" s="17">
        <v>-17</v>
      </c>
      <c r="N9" s="81">
        <f>SUM(L9:M9)</f>
        <v>100512</v>
      </c>
      <c r="O9" s="115">
        <v>0</v>
      </c>
      <c r="P9" s="27"/>
      <c r="Q9" s="27"/>
      <c r="R9" s="27">
        <f>SUM(O9:P9)</f>
        <v>0</v>
      </c>
      <c r="S9" s="17"/>
      <c r="T9" s="17">
        <v>0</v>
      </c>
      <c r="U9" s="17"/>
      <c r="V9" s="18">
        <f>SUM(T9:U9)</f>
        <v>0</v>
      </c>
      <c r="W9" s="84">
        <v>200000</v>
      </c>
      <c r="X9" s="27"/>
      <c r="Y9" s="27"/>
      <c r="Z9" s="27">
        <f>SUM(W9:X9)</f>
        <v>200000</v>
      </c>
      <c r="AA9" s="17">
        <v>-200</v>
      </c>
      <c r="AB9" s="81">
        <v>0</v>
      </c>
      <c r="AC9" s="50">
        <f>C9+O9+W9</f>
        <v>99315350</v>
      </c>
      <c r="AD9" s="347">
        <f>D9+P9+X9</f>
        <v>44000</v>
      </c>
      <c r="AE9" s="348">
        <v>1315440</v>
      </c>
      <c r="AF9" s="349">
        <v>100674</v>
      </c>
      <c r="AG9" s="119">
        <f>G9+S9</f>
        <v>21</v>
      </c>
      <c r="AH9" s="119">
        <f>SUM(AF9:AG9)</f>
        <v>100695</v>
      </c>
      <c r="AI9" s="119">
        <f>I9</f>
        <v>11</v>
      </c>
      <c r="AJ9" s="119">
        <f>SUM(AH9:AI9)</f>
        <v>100706</v>
      </c>
      <c r="AK9" s="119">
        <f>K9</f>
        <v>22</v>
      </c>
      <c r="AL9" s="119">
        <f>SUM(AJ9:AK9)</f>
        <v>100728</v>
      </c>
      <c r="AM9" s="119">
        <f>M9+AA9+U9</f>
        <v>-217</v>
      </c>
      <c r="AN9" s="215">
        <f>SUM(AL9:AM9)</f>
        <v>100511</v>
      </c>
    </row>
    <row r="10" spans="1:40" ht="21" customHeight="1" x14ac:dyDescent="0.2">
      <c r="A10" s="21" t="s">
        <v>4</v>
      </c>
      <c r="B10" s="66" t="s">
        <v>39</v>
      </c>
      <c r="C10" s="115">
        <v>19327493</v>
      </c>
      <c r="D10" s="27">
        <v>8000</v>
      </c>
      <c r="E10" s="104">
        <v>256511</v>
      </c>
      <c r="F10" s="27">
        <f>SUM(C10:E10)</f>
        <v>19592004</v>
      </c>
      <c r="G10" s="17">
        <v>4</v>
      </c>
      <c r="H10" s="17">
        <v>19596</v>
      </c>
      <c r="I10" s="17">
        <v>2</v>
      </c>
      <c r="J10" s="17">
        <f t="shared" ref="J10:J39" si="0">SUM(H10:I10)</f>
        <v>19598</v>
      </c>
      <c r="K10" s="17">
        <v>4</v>
      </c>
      <c r="L10" s="17">
        <f t="shared" ref="L10:L39" si="1">SUM(J10:K10)</f>
        <v>19602</v>
      </c>
      <c r="M10" s="17">
        <v>216</v>
      </c>
      <c r="N10" s="81">
        <f t="shared" ref="N10:N38" si="2">SUM(L10:M10)</f>
        <v>19818</v>
      </c>
      <c r="O10" s="115">
        <v>0</v>
      </c>
      <c r="P10" s="27"/>
      <c r="Q10" s="27"/>
      <c r="R10" s="27">
        <f t="shared" ref="R10:R39" si="3">SUM(O10:P10)</f>
        <v>0</v>
      </c>
      <c r="S10" s="17"/>
      <c r="T10" s="17">
        <v>0</v>
      </c>
      <c r="U10" s="17"/>
      <c r="V10" s="18">
        <f t="shared" ref="V10:V39" si="4">SUM(T10:U10)</f>
        <v>0</v>
      </c>
      <c r="W10" s="84">
        <v>39000</v>
      </c>
      <c r="X10" s="27"/>
      <c r="Y10" s="27"/>
      <c r="Z10" s="27">
        <f t="shared" ref="Z10:Z39" si="5">SUM(W10:X10)</f>
        <v>39000</v>
      </c>
      <c r="AA10" s="17">
        <v>-39</v>
      </c>
      <c r="AB10" s="81">
        <v>0</v>
      </c>
      <c r="AC10" s="50">
        <f t="shared" ref="AC10:AC38" si="6">C10+O10+W10</f>
        <v>19366493</v>
      </c>
      <c r="AD10" s="347">
        <f t="shared" ref="AD10:AD39" si="7">D10+P10+X10</f>
        <v>8000</v>
      </c>
      <c r="AE10" s="348">
        <v>256511</v>
      </c>
      <c r="AF10" s="347">
        <f>SUM(AC10:AE10)</f>
        <v>19631004</v>
      </c>
      <c r="AG10" s="119">
        <f t="shared" ref="AG10:AG38" si="8">G10+S10</f>
        <v>4</v>
      </c>
      <c r="AH10" s="119">
        <v>19635</v>
      </c>
      <c r="AI10" s="119">
        <f t="shared" ref="AI10:AI39" si="9">I10</f>
        <v>2</v>
      </c>
      <c r="AJ10" s="119">
        <f t="shared" ref="AJ10:AJ39" si="10">SUM(AH10:AI10)</f>
        <v>19637</v>
      </c>
      <c r="AK10" s="119">
        <f t="shared" ref="AK10:AK39" si="11">K10</f>
        <v>4</v>
      </c>
      <c r="AL10" s="119">
        <f t="shared" ref="AL10:AL39" si="12">SUM(AJ10:AK10)</f>
        <v>19641</v>
      </c>
      <c r="AM10" s="119">
        <f t="shared" ref="AM10:AM39" si="13">M10+AA10+U10</f>
        <v>177</v>
      </c>
      <c r="AN10" s="215">
        <f t="shared" ref="AN10:AN39" si="14">SUM(AL10:AM10)</f>
        <v>19818</v>
      </c>
    </row>
    <row r="11" spans="1:40" ht="12.75" customHeight="1" x14ac:dyDescent="0.2">
      <c r="A11" s="21" t="s">
        <v>5</v>
      </c>
      <c r="B11" s="66" t="s">
        <v>71</v>
      </c>
      <c r="C11" s="115">
        <v>927250</v>
      </c>
      <c r="D11" s="27"/>
      <c r="E11" s="104"/>
      <c r="F11" s="27">
        <f t="shared" ref="F11:F37" si="15">SUM(C11:D11)</f>
        <v>927250</v>
      </c>
      <c r="G11" s="17">
        <v>70</v>
      </c>
      <c r="H11" s="17">
        <v>997</v>
      </c>
      <c r="I11" s="17">
        <v>54</v>
      </c>
      <c r="J11" s="17">
        <f t="shared" si="0"/>
        <v>1051</v>
      </c>
      <c r="K11" s="17"/>
      <c r="L11" s="17">
        <f t="shared" si="1"/>
        <v>1051</v>
      </c>
      <c r="M11" s="17">
        <v>-235</v>
      </c>
      <c r="N11" s="81">
        <f t="shared" si="2"/>
        <v>816</v>
      </c>
      <c r="O11" s="115">
        <v>9096920</v>
      </c>
      <c r="P11" s="27">
        <v>412000</v>
      </c>
      <c r="Q11" s="27"/>
      <c r="R11" s="27">
        <f t="shared" si="3"/>
        <v>9508920</v>
      </c>
      <c r="S11" s="17">
        <v>-70</v>
      </c>
      <c r="T11" s="17">
        <v>9439</v>
      </c>
      <c r="U11" s="17">
        <v>72</v>
      </c>
      <c r="V11" s="18">
        <f t="shared" si="4"/>
        <v>9511</v>
      </c>
      <c r="W11" s="84">
        <v>0</v>
      </c>
      <c r="X11" s="27"/>
      <c r="Y11" s="27"/>
      <c r="Z11" s="27">
        <f t="shared" si="5"/>
        <v>0</v>
      </c>
      <c r="AA11" s="17"/>
      <c r="AB11" s="81">
        <f t="shared" ref="AB11:AB39" si="16">SUM(Z11:AA11)</f>
        <v>0</v>
      </c>
      <c r="AC11" s="50">
        <f t="shared" si="6"/>
        <v>10024170</v>
      </c>
      <c r="AD11" s="347">
        <f t="shared" si="7"/>
        <v>412000</v>
      </c>
      <c r="AE11" s="347"/>
      <c r="AF11" s="347">
        <f t="shared" ref="AF11:AF37" si="17">SUM(AC11:AD11)</f>
        <v>10436170</v>
      </c>
      <c r="AG11" s="119">
        <f t="shared" si="8"/>
        <v>0</v>
      </c>
      <c r="AH11" s="119">
        <v>10436</v>
      </c>
      <c r="AI11" s="119">
        <f t="shared" si="9"/>
        <v>54</v>
      </c>
      <c r="AJ11" s="119">
        <f t="shared" si="10"/>
        <v>10490</v>
      </c>
      <c r="AK11" s="119">
        <f t="shared" si="11"/>
        <v>0</v>
      </c>
      <c r="AL11" s="119">
        <f t="shared" si="12"/>
        <v>10490</v>
      </c>
      <c r="AM11" s="119">
        <f t="shared" si="13"/>
        <v>-163</v>
      </c>
      <c r="AN11" s="215">
        <f t="shared" si="14"/>
        <v>10327</v>
      </c>
    </row>
    <row r="12" spans="1:40" ht="12.75" customHeight="1" x14ac:dyDescent="0.2">
      <c r="A12" s="21" t="s">
        <v>6</v>
      </c>
      <c r="B12" s="66" t="s">
        <v>41</v>
      </c>
      <c r="C12" s="115">
        <v>0</v>
      </c>
      <c r="D12" s="27"/>
      <c r="E12" s="104"/>
      <c r="F12" s="27">
        <f t="shared" si="15"/>
        <v>0</v>
      </c>
      <c r="G12" s="17"/>
      <c r="H12" s="17"/>
      <c r="I12" s="17"/>
      <c r="J12" s="17">
        <f t="shared" si="0"/>
        <v>0</v>
      </c>
      <c r="K12" s="17"/>
      <c r="L12" s="17">
        <f t="shared" si="1"/>
        <v>0</v>
      </c>
      <c r="M12" s="17"/>
      <c r="N12" s="81">
        <f t="shared" si="2"/>
        <v>0</v>
      </c>
      <c r="O12" s="115">
        <v>0</v>
      </c>
      <c r="P12" s="27"/>
      <c r="Q12" s="27"/>
      <c r="R12" s="27">
        <f t="shared" si="3"/>
        <v>0</v>
      </c>
      <c r="S12" s="17"/>
      <c r="T12" s="17"/>
      <c r="U12" s="17"/>
      <c r="V12" s="18">
        <f t="shared" si="4"/>
        <v>0</v>
      </c>
      <c r="W12" s="84">
        <v>0</v>
      </c>
      <c r="X12" s="27"/>
      <c r="Y12" s="27"/>
      <c r="Z12" s="27">
        <f t="shared" si="5"/>
        <v>0</v>
      </c>
      <c r="AA12" s="17"/>
      <c r="AB12" s="81">
        <f t="shared" si="16"/>
        <v>0</v>
      </c>
      <c r="AC12" s="50">
        <f t="shared" si="6"/>
        <v>0</v>
      </c>
      <c r="AD12" s="347">
        <f t="shared" si="7"/>
        <v>0</v>
      </c>
      <c r="AE12" s="347"/>
      <c r="AF12" s="347">
        <f t="shared" si="17"/>
        <v>0</v>
      </c>
      <c r="AG12" s="119">
        <f t="shared" si="8"/>
        <v>0</v>
      </c>
      <c r="AH12" s="119">
        <f t="shared" ref="AH12:AH38" si="18">SUM(AF12:AG12)</f>
        <v>0</v>
      </c>
      <c r="AI12" s="119">
        <f t="shared" si="9"/>
        <v>0</v>
      </c>
      <c r="AJ12" s="119">
        <f t="shared" si="10"/>
        <v>0</v>
      </c>
      <c r="AK12" s="119">
        <f t="shared" si="11"/>
        <v>0</v>
      </c>
      <c r="AL12" s="119">
        <f t="shared" si="12"/>
        <v>0</v>
      </c>
      <c r="AM12" s="119">
        <f t="shared" si="13"/>
        <v>0</v>
      </c>
      <c r="AN12" s="215">
        <f t="shared" si="14"/>
        <v>0</v>
      </c>
    </row>
    <row r="13" spans="1:40" ht="12.75" customHeight="1" x14ac:dyDescent="0.2">
      <c r="A13" s="21" t="s">
        <v>7</v>
      </c>
      <c r="B13" s="66" t="s">
        <v>42</v>
      </c>
      <c r="C13" s="115">
        <v>0</v>
      </c>
      <c r="D13" s="27"/>
      <c r="E13" s="104"/>
      <c r="F13" s="27">
        <f t="shared" si="15"/>
        <v>0</v>
      </c>
      <c r="G13" s="17"/>
      <c r="H13" s="17"/>
      <c r="I13" s="17"/>
      <c r="J13" s="17">
        <f t="shared" si="0"/>
        <v>0</v>
      </c>
      <c r="K13" s="17"/>
      <c r="L13" s="17">
        <f t="shared" si="1"/>
        <v>0</v>
      </c>
      <c r="M13" s="17"/>
      <c r="N13" s="81">
        <f t="shared" si="2"/>
        <v>0</v>
      </c>
      <c r="O13" s="115">
        <v>0</v>
      </c>
      <c r="P13" s="27"/>
      <c r="Q13" s="27"/>
      <c r="R13" s="27">
        <f t="shared" si="3"/>
        <v>0</v>
      </c>
      <c r="S13" s="17"/>
      <c r="T13" s="17"/>
      <c r="U13" s="17"/>
      <c r="V13" s="18">
        <f t="shared" si="4"/>
        <v>0</v>
      </c>
      <c r="W13" s="84">
        <v>0</v>
      </c>
      <c r="X13" s="27"/>
      <c r="Y13" s="27"/>
      <c r="Z13" s="27">
        <f t="shared" si="5"/>
        <v>0</v>
      </c>
      <c r="AA13" s="17"/>
      <c r="AB13" s="81">
        <f t="shared" si="16"/>
        <v>0</v>
      </c>
      <c r="AC13" s="50">
        <f t="shared" si="6"/>
        <v>0</v>
      </c>
      <c r="AD13" s="347">
        <f t="shared" si="7"/>
        <v>0</v>
      </c>
      <c r="AE13" s="347"/>
      <c r="AF13" s="347">
        <f t="shared" si="17"/>
        <v>0</v>
      </c>
      <c r="AG13" s="119">
        <f t="shared" si="8"/>
        <v>0</v>
      </c>
      <c r="AH13" s="119">
        <f t="shared" si="18"/>
        <v>0</v>
      </c>
      <c r="AI13" s="119">
        <f t="shared" si="9"/>
        <v>0</v>
      </c>
      <c r="AJ13" s="119">
        <f t="shared" si="10"/>
        <v>0</v>
      </c>
      <c r="AK13" s="119">
        <f t="shared" si="11"/>
        <v>0</v>
      </c>
      <c r="AL13" s="119">
        <f t="shared" si="12"/>
        <v>0</v>
      </c>
      <c r="AM13" s="119">
        <f t="shared" si="13"/>
        <v>0</v>
      </c>
      <c r="AN13" s="215">
        <f t="shared" si="14"/>
        <v>0</v>
      </c>
    </row>
    <row r="14" spans="1:40" ht="12.75" customHeight="1" x14ac:dyDescent="0.2">
      <c r="A14" s="21" t="s">
        <v>8</v>
      </c>
      <c r="B14" s="79" t="s">
        <v>72</v>
      </c>
      <c r="C14" s="115"/>
      <c r="D14" s="27"/>
      <c r="E14" s="104"/>
      <c r="F14" s="27">
        <f t="shared" si="15"/>
        <v>0</v>
      </c>
      <c r="G14" s="17"/>
      <c r="H14" s="17"/>
      <c r="I14" s="17"/>
      <c r="J14" s="17">
        <f t="shared" si="0"/>
        <v>0</v>
      </c>
      <c r="K14" s="17"/>
      <c r="L14" s="17">
        <f t="shared" si="1"/>
        <v>0</v>
      </c>
      <c r="M14" s="17"/>
      <c r="N14" s="81">
        <f t="shared" si="2"/>
        <v>0</v>
      </c>
      <c r="O14" s="115"/>
      <c r="P14" s="27"/>
      <c r="Q14" s="27"/>
      <c r="R14" s="27">
        <f t="shared" si="3"/>
        <v>0</v>
      </c>
      <c r="S14" s="17"/>
      <c r="T14" s="17"/>
      <c r="U14" s="17"/>
      <c r="V14" s="18">
        <f t="shared" si="4"/>
        <v>0</v>
      </c>
      <c r="W14" s="84"/>
      <c r="X14" s="27"/>
      <c r="Y14" s="27"/>
      <c r="Z14" s="27">
        <f t="shared" si="5"/>
        <v>0</v>
      </c>
      <c r="AA14" s="17"/>
      <c r="AB14" s="81">
        <f t="shared" si="16"/>
        <v>0</v>
      </c>
      <c r="AC14" s="50">
        <f t="shared" si="6"/>
        <v>0</v>
      </c>
      <c r="AD14" s="347">
        <f t="shared" si="7"/>
        <v>0</v>
      </c>
      <c r="AE14" s="347"/>
      <c r="AF14" s="347">
        <f t="shared" si="17"/>
        <v>0</v>
      </c>
      <c r="AG14" s="119">
        <f t="shared" si="8"/>
        <v>0</v>
      </c>
      <c r="AH14" s="119">
        <f t="shared" si="18"/>
        <v>0</v>
      </c>
      <c r="AI14" s="119">
        <f t="shared" si="9"/>
        <v>0</v>
      </c>
      <c r="AJ14" s="119">
        <f t="shared" si="10"/>
        <v>0</v>
      </c>
      <c r="AK14" s="119">
        <f t="shared" si="11"/>
        <v>0</v>
      </c>
      <c r="AL14" s="119">
        <f t="shared" si="12"/>
        <v>0</v>
      </c>
      <c r="AM14" s="119">
        <f t="shared" si="13"/>
        <v>0</v>
      </c>
      <c r="AN14" s="215">
        <f t="shared" si="14"/>
        <v>0</v>
      </c>
    </row>
    <row r="15" spans="1:40" s="30" customFormat="1" ht="12.75" customHeight="1" x14ac:dyDescent="0.2">
      <c r="A15" s="20" t="s">
        <v>9</v>
      </c>
      <c r="B15" s="206" t="s">
        <v>43</v>
      </c>
      <c r="C15" s="90">
        <f>C9+C10+C11+C12+C13+C14</f>
        <v>119370093</v>
      </c>
      <c r="D15" s="26">
        <f>SUM(D9:D14)</f>
        <v>52000</v>
      </c>
      <c r="E15" s="104">
        <v>1571951</v>
      </c>
      <c r="F15" s="27">
        <f>SUM(C15:E15)</f>
        <v>120994044</v>
      </c>
      <c r="G15" s="17">
        <f>SUM(G9:G14)</f>
        <v>95</v>
      </c>
      <c r="H15" s="17">
        <f>SUM(H9:H14)</f>
        <v>121089</v>
      </c>
      <c r="I15" s="17">
        <f>SUM(I9:I14)</f>
        <v>67</v>
      </c>
      <c r="J15" s="17">
        <f t="shared" si="0"/>
        <v>121156</v>
      </c>
      <c r="K15" s="17">
        <f>SUM(K9:K14)</f>
        <v>26</v>
      </c>
      <c r="L15" s="17">
        <f t="shared" si="1"/>
        <v>121182</v>
      </c>
      <c r="M15" s="17">
        <f>SUM(M9:M14)</f>
        <v>-36</v>
      </c>
      <c r="N15" s="81">
        <f t="shared" si="2"/>
        <v>121146</v>
      </c>
      <c r="O15" s="90">
        <f>O9+O10+O11+O12+O13+O14</f>
        <v>9096920</v>
      </c>
      <c r="P15" s="26">
        <f>SUM(P11)</f>
        <v>412000</v>
      </c>
      <c r="Q15" s="26"/>
      <c r="R15" s="27">
        <f t="shared" si="3"/>
        <v>9508920</v>
      </c>
      <c r="S15" s="17">
        <f>SUM(S11)</f>
        <v>-70</v>
      </c>
      <c r="T15" s="17">
        <f>SUM(T11)</f>
        <v>9439</v>
      </c>
      <c r="U15" s="17">
        <v>72</v>
      </c>
      <c r="V15" s="18">
        <f t="shared" si="4"/>
        <v>9511</v>
      </c>
      <c r="W15" s="86">
        <f>W9+W10+W11+W12+W13+W14</f>
        <v>239000</v>
      </c>
      <c r="X15" s="26"/>
      <c r="Y15" s="26"/>
      <c r="Z15" s="27">
        <f t="shared" si="5"/>
        <v>239000</v>
      </c>
      <c r="AA15" s="17">
        <v>-239</v>
      </c>
      <c r="AB15" s="81">
        <v>0</v>
      </c>
      <c r="AC15" s="118">
        <f t="shared" si="6"/>
        <v>128706013</v>
      </c>
      <c r="AD15" s="347">
        <f t="shared" si="7"/>
        <v>464000</v>
      </c>
      <c r="AE15" s="350">
        <v>1572</v>
      </c>
      <c r="AF15" s="349">
        <v>130742</v>
      </c>
      <c r="AG15" s="119">
        <f t="shared" si="8"/>
        <v>25</v>
      </c>
      <c r="AH15" s="119">
        <f t="shared" si="18"/>
        <v>130767</v>
      </c>
      <c r="AI15" s="119">
        <f t="shared" si="9"/>
        <v>67</v>
      </c>
      <c r="AJ15" s="119">
        <f t="shared" si="10"/>
        <v>130834</v>
      </c>
      <c r="AK15" s="119">
        <f t="shared" si="11"/>
        <v>26</v>
      </c>
      <c r="AL15" s="119">
        <f t="shared" si="12"/>
        <v>130860</v>
      </c>
      <c r="AM15" s="119">
        <f t="shared" si="13"/>
        <v>-203</v>
      </c>
      <c r="AN15" s="215">
        <f t="shared" si="14"/>
        <v>130657</v>
      </c>
    </row>
    <row r="16" spans="1:40" ht="12.75" customHeight="1" x14ac:dyDescent="0.2">
      <c r="A16" s="21" t="s">
        <v>10</v>
      </c>
      <c r="B16" s="66" t="s">
        <v>44</v>
      </c>
      <c r="C16" s="115">
        <v>0</v>
      </c>
      <c r="D16" s="27"/>
      <c r="E16" s="27"/>
      <c r="F16" s="27">
        <f t="shared" si="15"/>
        <v>0</v>
      </c>
      <c r="G16" s="17"/>
      <c r="H16" s="17"/>
      <c r="I16" s="17"/>
      <c r="J16" s="17">
        <f t="shared" si="0"/>
        <v>0</v>
      </c>
      <c r="K16" s="17"/>
      <c r="L16" s="17">
        <f t="shared" si="1"/>
        <v>0</v>
      </c>
      <c r="M16" s="17"/>
      <c r="N16" s="81">
        <f t="shared" si="2"/>
        <v>0</v>
      </c>
      <c r="O16" s="115">
        <v>3429000</v>
      </c>
      <c r="P16" s="27"/>
      <c r="Q16" s="27"/>
      <c r="R16" s="27">
        <f t="shared" si="3"/>
        <v>3429000</v>
      </c>
      <c r="S16" s="17"/>
      <c r="T16" s="17">
        <v>3429</v>
      </c>
      <c r="U16" s="17"/>
      <c r="V16" s="18">
        <f t="shared" si="4"/>
        <v>3429</v>
      </c>
      <c r="W16" s="84">
        <v>0</v>
      </c>
      <c r="X16" s="27"/>
      <c r="Y16" s="27"/>
      <c r="Z16" s="27">
        <f t="shared" si="5"/>
        <v>0</v>
      </c>
      <c r="AA16" s="17"/>
      <c r="AB16" s="81">
        <f t="shared" si="16"/>
        <v>0</v>
      </c>
      <c r="AC16" s="50">
        <f t="shared" si="6"/>
        <v>3429000</v>
      </c>
      <c r="AD16" s="347">
        <f t="shared" si="7"/>
        <v>0</v>
      </c>
      <c r="AE16" s="347"/>
      <c r="AF16" s="347">
        <f t="shared" si="17"/>
        <v>3429000</v>
      </c>
      <c r="AG16" s="119">
        <f t="shared" si="8"/>
        <v>0</v>
      </c>
      <c r="AH16" s="119">
        <v>3429</v>
      </c>
      <c r="AI16" s="119">
        <f t="shared" si="9"/>
        <v>0</v>
      </c>
      <c r="AJ16" s="119">
        <f t="shared" si="10"/>
        <v>3429</v>
      </c>
      <c r="AK16" s="119">
        <f t="shared" si="11"/>
        <v>0</v>
      </c>
      <c r="AL16" s="119">
        <f t="shared" si="12"/>
        <v>3429</v>
      </c>
      <c r="AM16" s="119">
        <f t="shared" si="13"/>
        <v>0</v>
      </c>
      <c r="AN16" s="215">
        <f t="shared" si="14"/>
        <v>3429</v>
      </c>
    </row>
    <row r="17" spans="1:40" ht="12.75" customHeight="1" x14ac:dyDescent="0.2">
      <c r="A17" s="21" t="s">
        <v>11</v>
      </c>
      <c r="B17" s="66" t="s">
        <v>45</v>
      </c>
      <c r="C17" s="115">
        <f>'[5]2016 ktgv kiadás_01'!$G$212</f>
        <v>0</v>
      </c>
      <c r="D17" s="27"/>
      <c r="E17" s="27"/>
      <c r="F17" s="27">
        <f t="shared" si="15"/>
        <v>0</v>
      </c>
      <c r="G17" s="17"/>
      <c r="H17" s="17"/>
      <c r="I17" s="17"/>
      <c r="J17" s="17">
        <f t="shared" si="0"/>
        <v>0</v>
      </c>
      <c r="K17" s="17"/>
      <c r="L17" s="17">
        <f t="shared" si="1"/>
        <v>0</v>
      </c>
      <c r="M17" s="17"/>
      <c r="N17" s="81">
        <f t="shared" si="2"/>
        <v>0</v>
      </c>
      <c r="O17" s="115">
        <v>0</v>
      </c>
      <c r="P17" s="27"/>
      <c r="Q17" s="27"/>
      <c r="R17" s="27">
        <f t="shared" si="3"/>
        <v>0</v>
      </c>
      <c r="S17" s="17"/>
      <c r="T17" s="17"/>
      <c r="U17" s="17"/>
      <c r="V17" s="18">
        <f t="shared" si="4"/>
        <v>0</v>
      </c>
      <c r="W17" s="84">
        <v>0</v>
      </c>
      <c r="X17" s="27"/>
      <c r="Y17" s="27"/>
      <c r="Z17" s="27">
        <f t="shared" si="5"/>
        <v>0</v>
      </c>
      <c r="AA17" s="17"/>
      <c r="AB17" s="81">
        <f t="shared" si="16"/>
        <v>0</v>
      </c>
      <c r="AC17" s="50">
        <f t="shared" si="6"/>
        <v>0</v>
      </c>
      <c r="AD17" s="347">
        <f t="shared" si="7"/>
        <v>0</v>
      </c>
      <c r="AE17" s="347"/>
      <c r="AF17" s="347">
        <f t="shared" si="17"/>
        <v>0</v>
      </c>
      <c r="AG17" s="119">
        <f t="shared" si="8"/>
        <v>0</v>
      </c>
      <c r="AH17" s="119">
        <f t="shared" si="18"/>
        <v>0</v>
      </c>
      <c r="AI17" s="119">
        <f t="shared" si="9"/>
        <v>0</v>
      </c>
      <c r="AJ17" s="119">
        <f t="shared" si="10"/>
        <v>0</v>
      </c>
      <c r="AK17" s="119">
        <f t="shared" si="11"/>
        <v>0</v>
      </c>
      <c r="AL17" s="119">
        <f t="shared" si="12"/>
        <v>0</v>
      </c>
      <c r="AM17" s="119">
        <f t="shared" si="13"/>
        <v>0</v>
      </c>
      <c r="AN17" s="215">
        <f t="shared" si="14"/>
        <v>0</v>
      </c>
    </row>
    <row r="18" spans="1:40" ht="12.75" customHeight="1" x14ac:dyDescent="0.2">
      <c r="A18" s="21" t="s">
        <v>12</v>
      </c>
      <c r="B18" s="66" t="s">
        <v>46</v>
      </c>
      <c r="C18" s="115">
        <v>0</v>
      </c>
      <c r="D18" s="27"/>
      <c r="E18" s="27"/>
      <c r="F18" s="27">
        <f t="shared" si="15"/>
        <v>0</v>
      </c>
      <c r="G18" s="17"/>
      <c r="H18" s="17"/>
      <c r="I18" s="17"/>
      <c r="J18" s="17">
        <f t="shared" si="0"/>
        <v>0</v>
      </c>
      <c r="K18" s="17"/>
      <c r="L18" s="17">
        <f t="shared" si="1"/>
        <v>0</v>
      </c>
      <c r="M18" s="17"/>
      <c r="N18" s="81">
        <f t="shared" si="2"/>
        <v>0</v>
      </c>
      <c r="O18" s="115">
        <v>0</v>
      </c>
      <c r="P18" s="27"/>
      <c r="Q18" s="27"/>
      <c r="R18" s="27">
        <f t="shared" si="3"/>
        <v>0</v>
      </c>
      <c r="S18" s="17"/>
      <c r="T18" s="17"/>
      <c r="U18" s="17"/>
      <c r="V18" s="18">
        <f t="shared" si="4"/>
        <v>0</v>
      </c>
      <c r="W18" s="84">
        <v>0</v>
      </c>
      <c r="X18" s="27"/>
      <c r="Y18" s="27"/>
      <c r="Z18" s="27">
        <f t="shared" si="5"/>
        <v>0</v>
      </c>
      <c r="AA18" s="17"/>
      <c r="AB18" s="81">
        <f t="shared" si="16"/>
        <v>0</v>
      </c>
      <c r="AC18" s="50">
        <f t="shared" si="6"/>
        <v>0</v>
      </c>
      <c r="AD18" s="347">
        <f t="shared" si="7"/>
        <v>0</v>
      </c>
      <c r="AE18" s="347"/>
      <c r="AF18" s="347">
        <f t="shared" si="17"/>
        <v>0</v>
      </c>
      <c r="AG18" s="119">
        <f t="shared" si="8"/>
        <v>0</v>
      </c>
      <c r="AH18" s="119">
        <f t="shared" si="18"/>
        <v>0</v>
      </c>
      <c r="AI18" s="119">
        <f t="shared" si="9"/>
        <v>0</v>
      </c>
      <c r="AJ18" s="119">
        <f t="shared" si="10"/>
        <v>0</v>
      </c>
      <c r="AK18" s="119">
        <f t="shared" si="11"/>
        <v>0</v>
      </c>
      <c r="AL18" s="119">
        <f t="shared" si="12"/>
        <v>0</v>
      </c>
      <c r="AM18" s="119">
        <f t="shared" si="13"/>
        <v>0</v>
      </c>
      <c r="AN18" s="215">
        <f t="shared" si="14"/>
        <v>0</v>
      </c>
    </row>
    <row r="19" spans="1:40" s="30" customFormat="1" ht="12.75" customHeight="1" x14ac:dyDescent="0.2">
      <c r="A19" s="20" t="s">
        <v>13</v>
      </c>
      <c r="B19" s="206" t="s">
        <v>47</v>
      </c>
      <c r="C19" s="90">
        <f>C16+C17+C18</f>
        <v>0</v>
      </c>
      <c r="D19" s="26"/>
      <c r="E19" s="26"/>
      <c r="F19" s="27">
        <f t="shared" si="15"/>
        <v>0</v>
      </c>
      <c r="G19" s="17"/>
      <c r="H19" s="17"/>
      <c r="I19" s="17"/>
      <c r="J19" s="17">
        <f t="shared" si="0"/>
        <v>0</v>
      </c>
      <c r="K19" s="17"/>
      <c r="L19" s="17">
        <f t="shared" si="1"/>
        <v>0</v>
      </c>
      <c r="M19" s="17"/>
      <c r="N19" s="81">
        <f t="shared" si="2"/>
        <v>0</v>
      </c>
      <c r="O19" s="90">
        <f>O16+O17+O18</f>
        <v>3429000</v>
      </c>
      <c r="P19" s="26"/>
      <c r="Q19" s="26"/>
      <c r="R19" s="27">
        <f t="shared" si="3"/>
        <v>3429000</v>
      </c>
      <c r="S19" s="17"/>
      <c r="T19" s="17">
        <v>3429</v>
      </c>
      <c r="U19" s="17"/>
      <c r="V19" s="18">
        <f t="shared" si="4"/>
        <v>3429</v>
      </c>
      <c r="W19" s="86">
        <f>W16+W17+W18</f>
        <v>0</v>
      </c>
      <c r="X19" s="26"/>
      <c r="Y19" s="26"/>
      <c r="Z19" s="27">
        <f t="shared" si="5"/>
        <v>0</v>
      </c>
      <c r="AA19" s="17"/>
      <c r="AB19" s="81">
        <f t="shared" si="16"/>
        <v>0</v>
      </c>
      <c r="AC19" s="118">
        <f t="shared" si="6"/>
        <v>3429000</v>
      </c>
      <c r="AD19" s="347">
        <f t="shared" si="7"/>
        <v>0</v>
      </c>
      <c r="AE19" s="347"/>
      <c r="AF19" s="347">
        <f t="shared" si="17"/>
        <v>3429000</v>
      </c>
      <c r="AG19" s="119">
        <f t="shared" si="8"/>
        <v>0</v>
      </c>
      <c r="AH19" s="119">
        <v>3429</v>
      </c>
      <c r="AI19" s="119">
        <f t="shared" si="9"/>
        <v>0</v>
      </c>
      <c r="AJ19" s="119">
        <f t="shared" si="10"/>
        <v>3429</v>
      </c>
      <c r="AK19" s="119">
        <f t="shared" si="11"/>
        <v>0</v>
      </c>
      <c r="AL19" s="119">
        <f t="shared" si="12"/>
        <v>3429</v>
      </c>
      <c r="AM19" s="119">
        <f t="shared" si="13"/>
        <v>0</v>
      </c>
      <c r="AN19" s="215">
        <f t="shared" si="14"/>
        <v>3429</v>
      </c>
    </row>
    <row r="20" spans="1:40" s="30" customFormat="1" ht="12.75" customHeight="1" x14ac:dyDescent="0.2">
      <c r="A20" s="20" t="s">
        <v>14</v>
      </c>
      <c r="B20" s="206" t="s">
        <v>73</v>
      </c>
      <c r="C20" s="90">
        <v>0</v>
      </c>
      <c r="D20" s="26"/>
      <c r="E20" s="26"/>
      <c r="F20" s="27">
        <f t="shared" si="15"/>
        <v>0</v>
      </c>
      <c r="G20" s="17"/>
      <c r="H20" s="17"/>
      <c r="I20" s="17"/>
      <c r="J20" s="17">
        <f t="shared" si="0"/>
        <v>0</v>
      </c>
      <c r="K20" s="17"/>
      <c r="L20" s="17">
        <f t="shared" si="1"/>
        <v>0</v>
      </c>
      <c r="M20" s="17"/>
      <c r="N20" s="81">
        <f t="shared" si="2"/>
        <v>0</v>
      </c>
      <c r="O20" s="90">
        <v>0</v>
      </c>
      <c r="P20" s="26"/>
      <c r="Q20" s="26"/>
      <c r="R20" s="27">
        <f t="shared" si="3"/>
        <v>0</v>
      </c>
      <c r="S20" s="17"/>
      <c r="T20" s="17"/>
      <c r="U20" s="17"/>
      <c r="V20" s="18">
        <f t="shared" si="4"/>
        <v>0</v>
      </c>
      <c r="W20" s="86">
        <v>0</v>
      </c>
      <c r="X20" s="26"/>
      <c r="Y20" s="26"/>
      <c r="Z20" s="27">
        <f t="shared" si="5"/>
        <v>0</v>
      </c>
      <c r="AA20" s="17"/>
      <c r="AB20" s="81">
        <f t="shared" si="16"/>
        <v>0</v>
      </c>
      <c r="AC20" s="118">
        <f t="shared" si="6"/>
        <v>0</v>
      </c>
      <c r="AD20" s="347">
        <f t="shared" si="7"/>
        <v>0</v>
      </c>
      <c r="AE20" s="347"/>
      <c r="AF20" s="347">
        <f t="shared" si="17"/>
        <v>0</v>
      </c>
      <c r="AG20" s="119">
        <f t="shared" si="8"/>
        <v>0</v>
      </c>
      <c r="AH20" s="119">
        <f t="shared" si="18"/>
        <v>0</v>
      </c>
      <c r="AI20" s="119">
        <f t="shared" si="9"/>
        <v>0</v>
      </c>
      <c r="AJ20" s="119">
        <f t="shared" si="10"/>
        <v>0</v>
      </c>
      <c r="AK20" s="119">
        <f t="shared" si="11"/>
        <v>0</v>
      </c>
      <c r="AL20" s="119">
        <f t="shared" si="12"/>
        <v>0</v>
      </c>
      <c r="AM20" s="119">
        <f t="shared" si="13"/>
        <v>0</v>
      </c>
      <c r="AN20" s="215">
        <f t="shared" si="14"/>
        <v>0</v>
      </c>
    </row>
    <row r="21" spans="1:40" ht="12.75" customHeight="1" x14ac:dyDescent="0.2">
      <c r="A21" s="21" t="s">
        <v>15</v>
      </c>
      <c r="B21" s="79" t="s">
        <v>77</v>
      </c>
      <c r="C21" s="115">
        <v>0</v>
      </c>
      <c r="D21" s="27"/>
      <c r="E21" s="27"/>
      <c r="F21" s="27">
        <f t="shared" si="15"/>
        <v>0</v>
      </c>
      <c r="G21" s="17"/>
      <c r="H21" s="17"/>
      <c r="I21" s="17"/>
      <c r="J21" s="17">
        <f t="shared" si="0"/>
        <v>0</v>
      </c>
      <c r="K21" s="17"/>
      <c r="L21" s="17">
        <f t="shared" si="1"/>
        <v>0</v>
      </c>
      <c r="M21" s="17"/>
      <c r="N21" s="81">
        <f t="shared" si="2"/>
        <v>0</v>
      </c>
      <c r="O21" s="115">
        <v>0</v>
      </c>
      <c r="P21" s="27"/>
      <c r="Q21" s="27"/>
      <c r="R21" s="27">
        <f t="shared" si="3"/>
        <v>0</v>
      </c>
      <c r="S21" s="17"/>
      <c r="T21" s="17"/>
      <c r="U21" s="17"/>
      <c r="V21" s="18">
        <f t="shared" si="4"/>
        <v>0</v>
      </c>
      <c r="W21" s="84">
        <v>0</v>
      </c>
      <c r="X21" s="27"/>
      <c r="Y21" s="27"/>
      <c r="Z21" s="27">
        <f t="shared" si="5"/>
        <v>0</v>
      </c>
      <c r="AA21" s="17"/>
      <c r="AB21" s="81">
        <f t="shared" si="16"/>
        <v>0</v>
      </c>
      <c r="AC21" s="50">
        <f t="shared" si="6"/>
        <v>0</v>
      </c>
      <c r="AD21" s="347">
        <f t="shared" si="7"/>
        <v>0</v>
      </c>
      <c r="AE21" s="347"/>
      <c r="AF21" s="347">
        <f t="shared" si="17"/>
        <v>0</v>
      </c>
      <c r="AG21" s="119">
        <f t="shared" si="8"/>
        <v>0</v>
      </c>
      <c r="AH21" s="119">
        <f t="shared" si="18"/>
        <v>0</v>
      </c>
      <c r="AI21" s="119">
        <f t="shared" si="9"/>
        <v>0</v>
      </c>
      <c r="AJ21" s="119">
        <f t="shared" si="10"/>
        <v>0</v>
      </c>
      <c r="AK21" s="119">
        <f t="shared" si="11"/>
        <v>0</v>
      </c>
      <c r="AL21" s="119">
        <f t="shared" si="12"/>
        <v>0</v>
      </c>
      <c r="AM21" s="119">
        <f t="shared" si="13"/>
        <v>0</v>
      </c>
      <c r="AN21" s="215">
        <f t="shared" si="14"/>
        <v>0</v>
      </c>
    </row>
    <row r="22" spans="1:40" s="30" customFormat="1" ht="12.75" customHeight="1" x14ac:dyDescent="0.2">
      <c r="A22" s="20" t="s">
        <v>16</v>
      </c>
      <c r="B22" s="206" t="s">
        <v>48</v>
      </c>
      <c r="C22" s="90">
        <f>C15+C19+C20</f>
        <v>119370093</v>
      </c>
      <c r="D22" s="26">
        <f>SUM(D15)</f>
        <v>52000</v>
      </c>
      <c r="E22" s="104">
        <v>1571951</v>
      </c>
      <c r="F22" s="27">
        <f>SUM(C22:E22)</f>
        <v>120994044</v>
      </c>
      <c r="G22" s="17">
        <v>95</v>
      </c>
      <c r="H22" s="17">
        <v>121089</v>
      </c>
      <c r="I22" s="17">
        <f>SUM(I15)</f>
        <v>67</v>
      </c>
      <c r="J22" s="17">
        <f t="shared" si="0"/>
        <v>121156</v>
      </c>
      <c r="K22" s="17">
        <v>26</v>
      </c>
      <c r="L22" s="17">
        <f t="shared" si="1"/>
        <v>121182</v>
      </c>
      <c r="M22" s="17">
        <f>SUM(M15)</f>
        <v>-36</v>
      </c>
      <c r="N22" s="81">
        <f t="shared" si="2"/>
        <v>121146</v>
      </c>
      <c r="O22" s="90">
        <f>O15+O19+O20</f>
        <v>12525920</v>
      </c>
      <c r="P22" s="26">
        <f>SUM(P15)</f>
        <v>412000</v>
      </c>
      <c r="Q22" s="26"/>
      <c r="R22" s="27">
        <f t="shared" si="3"/>
        <v>12937920</v>
      </c>
      <c r="S22" s="17">
        <f>S15</f>
        <v>-70</v>
      </c>
      <c r="T22" s="17">
        <f>T15+T19</f>
        <v>12868</v>
      </c>
      <c r="U22" s="17">
        <v>72</v>
      </c>
      <c r="V22" s="18">
        <f t="shared" si="4"/>
        <v>12940</v>
      </c>
      <c r="W22" s="86">
        <f>W15+W19+W20</f>
        <v>239000</v>
      </c>
      <c r="X22" s="26"/>
      <c r="Y22" s="26"/>
      <c r="Z22" s="27">
        <f t="shared" si="5"/>
        <v>239000</v>
      </c>
      <c r="AA22" s="17">
        <v>-239</v>
      </c>
      <c r="AB22" s="81">
        <v>0</v>
      </c>
      <c r="AC22" s="118">
        <f t="shared" si="6"/>
        <v>132135013</v>
      </c>
      <c r="AD22" s="347">
        <f t="shared" si="7"/>
        <v>464000</v>
      </c>
      <c r="AE22" s="350">
        <v>1572</v>
      </c>
      <c r="AF22" s="349">
        <v>134171</v>
      </c>
      <c r="AG22" s="119">
        <f t="shared" si="8"/>
        <v>25</v>
      </c>
      <c r="AH22" s="119">
        <f t="shared" si="18"/>
        <v>134196</v>
      </c>
      <c r="AI22" s="119">
        <f t="shared" si="9"/>
        <v>67</v>
      </c>
      <c r="AJ22" s="119">
        <f t="shared" si="10"/>
        <v>134263</v>
      </c>
      <c r="AK22" s="119">
        <f t="shared" si="11"/>
        <v>26</v>
      </c>
      <c r="AL22" s="119">
        <f t="shared" si="12"/>
        <v>134289</v>
      </c>
      <c r="AM22" s="119">
        <f t="shared" si="13"/>
        <v>-203</v>
      </c>
      <c r="AN22" s="215">
        <f t="shared" si="14"/>
        <v>134086</v>
      </c>
    </row>
    <row r="23" spans="1:40" ht="12.75" customHeight="1" x14ac:dyDescent="0.2">
      <c r="A23" s="497" t="s">
        <v>55</v>
      </c>
      <c r="B23" s="498"/>
      <c r="C23" s="115"/>
      <c r="D23" s="27"/>
      <c r="E23" s="27"/>
      <c r="F23" s="27">
        <f t="shared" si="15"/>
        <v>0</v>
      </c>
      <c r="G23" s="17"/>
      <c r="H23" s="17"/>
      <c r="I23" s="17"/>
      <c r="J23" s="17">
        <f t="shared" si="0"/>
        <v>0</v>
      </c>
      <c r="K23" s="17"/>
      <c r="L23" s="17">
        <f t="shared" si="1"/>
        <v>0</v>
      </c>
      <c r="M23" s="17"/>
      <c r="N23" s="81">
        <f t="shared" si="2"/>
        <v>0</v>
      </c>
      <c r="O23" s="115"/>
      <c r="P23" s="27"/>
      <c r="Q23" s="27"/>
      <c r="R23" s="27">
        <f t="shared" si="3"/>
        <v>0</v>
      </c>
      <c r="S23" s="17"/>
      <c r="T23" s="17"/>
      <c r="U23" s="17"/>
      <c r="V23" s="18">
        <f t="shared" si="4"/>
        <v>0</v>
      </c>
      <c r="W23" s="84"/>
      <c r="X23" s="27"/>
      <c r="Y23" s="27"/>
      <c r="Z23" s="27">
        <f t="shared" si="5"/>
        <v>0</v>
      </c>
      <c r="AA23" s="17"/>
      <c r="AB23" s="81">
        <f t="shared" si="16"/>
        <v>0</v>
      </c>
      <c r="AC23" s="50">
        <f t="shared" si="6"/>
        <v>0</v>
      </c>
      <c r="AD23" s="347">
        <f t="shared" si="7"/>
        <v>0</v>
      </c>
      <c r="AE23" s="347"/>
      <c r="AF23" s="347">
        <f t="shared" si="17"/>
        <v>0</v>
      </c>
      <c r="AG23" s="119">
        <f t="shared" si="8"/>
        <v>0</v>
      </c>
      <c r="AH23" s="119">
        <f t="shared" si="18"/>
        <v>0</v>
      </c>
      <c r="AI23" s="119">
        <f t="shared" si="9"/>
        <v>0</v>
      </c>
      <c r="AJ23" s="119">
        <f t="shared" si="10"/>
        <v>0</v>
      </c>
      <c r="AK23" s="119">
        <f t="shared" si="11"/>
        <v>0</v>
      </c>
      <c r="AL23" s="119">
        <f t="shared" si="12"/>
        <v>0</v>
      </c>
      <c r="AM23" s="119">
        <f t="shared" si="13"/>
        <v>0</v>
      </c>
      <c r="AN23" s="215">
        <f t="shared" si="14"/>
        <v>0</v>
      </c>
    </row>
    <row r="24" spans="1:40" ht="12.75" customHeight="1" x14ac:dyDescent="0.2">
      <c r="A24" s="21" t="s">
        <v>17</v>
      </c>
      <c r="B24" s="66" t="s">
        <v>78</v>
      </c>
      <c r="C24" s="115">
        <v>0</v>
      </c>
      <c r="D24" s="27"/>
      <c r="E24" s="27"/>
      <c r="F24" s="27">
        <f t="shared" si="15"/>
        <v>0</v>
      </c>
      <c r="G24" s="17"/>
      <c r="H24" s="17"/>
      <c r="I24" s="17"/>
      <c r="J24" s="17">
        <f t="shared" si="0"/>
        <v>0</v>
      </c>
      <c r="K24" s="17"/>
      <c r="L24" s="17">
        <f t="shared" si="1"/>
        <v>0</v>
      </c>
      <c r="M24" s="17"/>
      <c r="N24" s="81">
        <f t="shared" si="2"/>
        <v>0</v>
      </c>
      <c r="O24" s="115">
        <v>0</v>
      </c>
      <c r="P24" s="27"/>
      <c r="Q24" s="27"/>
      <c r="R24" s="27">
        <f t="shared" si="3"/>
        <v>0</v>
      </c>
      <c r="S24" s="17"/>
      <c r="T24" s="17"/>
      <c r="U24" s="17"/>
      <c r="V24" s="18">
        <f t="shared" si="4"/>
        <v>0</v>
      </c>
      <c r="W24" s="84">
        <v>0</v>
      </c>
      <c r="X24" s="27"/>
      <c r="Y24" s="27"/>
      <c r="Z24" s="27">
        <f t="shared" si="5"/>
        <v>0</v>
      </c>
      <c r="AA24" s="17"/>
      <c r="AB24" s="81">
        <f t="shared" si="16"/>
        <v>0</v>
      </c>
      <c r="AC24" s="50">
        <f t="shared" si="6"/>
        <v>0</v>
      </c>
      <c r="AD24" s="347">
        <f t="shared" si="7"/>
        <v>0</v>
      </c>
      <c r="AE24" s="347"/>
      <c r="AF24" s="347">
        <f t="shared" si="17"/>
        <v>0</v>
      </c>
      <c r="AG24" s="119">
        <f t="shared" si="8"/>
        <v>0</v>
      </c>
      <c r="AH24" s="119">
        <f t="shared" si="18"/>
        <v>0</v>
      </c>
      <c r="AI24" s="119">
        <f t="shared" si="9"/>
        <v>0</v>
      </c>
      <c r="AJ24" s="119">
        <f t="shared" si="10"/>
        <v>0</v>
      </c>
      <c r="AK24" s="119">
        <f t="shared" si="11"/>
        <v>0</v>
      </c>
      <c r="AL24" s="119">
        <f t="shared" si="12"/>
        <v>0</v>
      </c>
      <c r="AM24" s="119">
        <f t="shared" si="13"/>
        <v>0</v>
      </c>
      <c r="AN24" s="215">
        <f t="shared" si="14"/>
        <v>0</v>
      </c>
    </row>
    <row r="25" spans="1:40" ht="12.75" customHeight="1" x14ac:dyDescent="0.2">
      <c r="A25" s="21" t="s">
        <v>18</v>
      </c>
      <c r="B25" s="79" t="s">
        <v>79</v>
      </c>
      <c r="C25" s="115">
        <v>0</v>
      </c>
      <c r="D25" s="27"/>
      <c r="E25" s="27"/>
      <c r="F25" s="27">
        <f t="shared" si="15"/>
        <v>0</v>
      </c>
      <c r="G25" s="17"/>
      <c r="H25" s="17"/>
      <c r="I25" s="17"/>
      <c r="J25" s="17">
        <f t="shared" si="0"/>
        <v>0</v>
      </c>
      <c r="K25" s="17"/>
      <c r="L25" s="17">
        <f t="shared" si="1"/>
        <v>0</v>
      </c>
      <c r="M25" s="17"/>
      <c r="N25" s="81">
        <f t="shared" si="2"/>
        <v>0</v>
      </c>
      <c r="O25" s="115">
        <v>0</v>
      </c>
      <c r="P25" s="27"/>
      <c r="Q25" s="27"/>
      <c r="R25" s="27">
        <f t="shared" si="3"/>
        <v>0</v>
      </c>
      <c r="S25" s="17"/>
      <c r="T25" s="17"/>
      <c r="U25" s="17"/>
      <c r="V25" s="18">
        <f t="shared" si="4"/>
        <v>0</v>
      </c>
      <c r="W25" s="84">
        <v>0</v>
      </c>
      <c r="X25" s="27"/>
      <c r="Y25" s="27"/>
      <c r="Z25" s="27">
        <f t="shared" si="5"/>
        <v>0</v>
      </c>
      <c r="AA25" s="17"/>
      <c r="AB25" s="81">
        <f t="shared" si="16"/>
        <v>0</v>
      </c>
      <c r="AC25" s="50">
        <f t="shared" si="6"/>
        <v>0</v>
      </c>
      <c r="AD25" s="347">
        <f t="shared" si="7"/>
        <v>0</v>
      </c>
      <c r="AE25" s="347"/>
      <c r="AF25" s="347">
        <f t="shared" si="17"/>
        <v>0</v>
      </c>
      <c r="AG25" s="119">
        <f t="shared" si="8"/>
        <v>0</v>
      </c>
      <c r="AH25" s="119">
        <f t="shared" si="18"/>
        <v>0</v>
      </c>
      <c r="AI25" s="119">
        <f t="shared" si="9"/>
        <v>0</v>
      </c>
      <c r="AJ25" s="119">
        <f t="shared" si="10"/>
        <v>0</v>
      </c>
      <c r="AK25" s="119">
        <f t="shared" si="11"/>
        <v>0</v>
      </c>
      <c r="AL25" s="119">
        <f t="shared" si="12"/>
        <v>0</v>
      </c>
      <c r="AM25" s="119">
        <f t="shared" si="13"/>
        <v>0</v>
      </c>
      <c r="AN25" s="215">
        <f t="shared" si="14"/>
        <v>0</v>
      </c>
    </row>
    <row r="26" spans="1:40" ht="12.75" customHeight="1" x14ac:dyDescent="0.2">
      <c r="A26" s="21" t="s">
        <v>19</v>
      </c>
      <c r="B26" s="66" t="s">
        <v>40</v>
      </c>
      <c r="C26" s="115">
        <v>0</v>
      </c>
      <c r="D26" s="27"/>
      <c r="E26" s="27"/>
      <c r="F26" s="27">
        <f t="shared" si="15"/>
        <v>0</v>
      </c>
      <c r="G26" s="17"/>
      <c r="H26" s="17"/>
      <c r="I26" s="17"/>
      <c r="J26" s="17">
        <f t="shared" si="0"/>
        <v>0</v>
      </c>
      <c r="K26" s="17"/>
      <c r="L26" s="17">
        <f t="shared" si="1"/>
        <v>0</v>
      </c>
      <c r="M26" s="17"/>
      <c r="N26" s="81">
        <f t="shared" si="2"/>
        <v>0</v>
      </c>
      <c r="O26" s="115">
        <v>0</v>
      </c>
      <c r="P26" s="27"/>
      <c r="Q26" s="27"/>
      <c r="R26" s="27">
        <f t="shared" si="3"/>
        <v>0</v>
      </c>
      <c r="S26" s="17"/>
      <c r="T26" s="17"/>
      <c r="U26" s="17"/>
      <c r="V26" s="18">
        <f t="shared" si="4"/>
        <v>0</v>
      </c>
      <c r="W26" s="84">
        <v>0</v>
      </c>
      <c r="X26" s="27"/>
      <c r="Y26" s="27"/>
      <c r="Z26" s="27">
        <f t="shared" si="5"/>
        <v>0</v>
      </c>
      <c r="AA26" s="17"/>
      <c r="AB26" s="81">
        <f t="shared" si="16"/>
        <v>0</v>
      </c>
      <c r="AC26" s="50">
        <f t="shared" si="6"/>
        <v>0</v>
      </c>
      <c r="AD26" s="347">
        <f t="shared" si="7"/>
        <v>0</v>
      </c>
      <c r="AE26" s="347"/>
      <c r="AF26" s="347">
        <f t="shared" si="17"/>
        <v>0</v>
      </c>
      <c r="AG26" s="119">
        <f t="shared" si="8"/>
        <v>0</v>
      </c>
      <c r="AH26" s="119">
        <f t="shared" si="18"/>
        <v>0</v>
      </c>
      <c r="AI26" s="119">
        <f t="shared" si="9"/>
        <v>0</v>
      </c>
      <c r="AJ26" s="119">
        <f t="shared" si="10"/>
        <v>0</v>
      </c>
      <c r="AK26" s="119">
        <f t="shared" si="11"/>
        <v>0</v>
      </c>
      <c r="AL26" s="119">
        <f t="shared" si="12"/>
        <v>0</v>
      </c>
      <c r="AM26" s="119">
        <f t="shared" si="13"/>
        <v>0</v>
      </c>
      <c r="AN26" s="215">
        <f t="shared" si="14"/>
        <v>0</v>
      </c>
    </row>
    <row r="27" spans="1:40" ht="12.75" customHeight="1" x14ac:dyDescent="0.2">
      <c r="A27" s="21" t="s">
        <v>20</v>
      </c>
      <c r="B27" s="66" t="s">
        <v>49</v>
      </c>
      <c r="C27" s="115">
        <f>'[5]2016 ktgv bevétel_02'!$G$69</f>
        <v>0</v>
      </c>
      <c r="D27" s="27"/>
      <c r="E27" s="27"/>
      <c r="F27" s="27">
        <f t="shared" si="15"/>
        <v>0</v>
      </c>
      <c r="G27" s="17"/>
      <c r="H27" s="17"/>
      <c r="I27" s="17"/>
      <c r="J27" s="17">
        <f t="shared" si="0"/>
        <v>0</v>
      </c>
      <c r="K27" s="17"/>
      <c r="L27" s="17">
        <f t="shared" si="1"/>
        <v>0</v>
      </c>
      <c r="M27" s="17"/>
      <c r="N27" s="81">
        <f t="shared" si="2"/>
        <v>0</v>
      </c>
      <c r="O27" s="115">
        <v>0</v>
      </c>
      <c r="P27" s="27"/>
      <c r="Q27" s="27"/>
      <c r="R27" s="27">
        <f t="shared" si="3"/>
        <v>0</v>
      </c>
      <c r="S27" s="17"/>
      <c r="T27" s="17"/>
      <c r="U27" s="17"/>
      <c r="V27" s="18">
        <f t="shared" si="4"/>
        <v>0</v>
      </c>
      <c r="W27" s="84">
        <v>0</v>
      </c>
      <c r="X27" s="27"/>
      <c r="Y27" s="27"/>
      <c r="Z27" s="27">
        <f t="shared" si="5"/>
        <v>0</v>
      </c>
      <c r="AA27" s="17"/>
      <c r="AB27" s="81">
        <f t="shared" si="16"/>
        <v>0</v>
      </c>
      <c r="AC27" s="50">
        <f t="shared" si="6"/>
        <v>0</v>
      </c>
      <c r="AD27" s="347">
        <f t="shared" si="7"/>
        <v>0</v>
      </c>
      <c r="AE27" s="347"/>
      <c r="AF27" s="347">
        <f t="shared" si="17"/>
        <v>0</v>
      </c>
      <c r="AG27" s="119">
        <f t="shared" si="8"/>
        <v>0</v>
      </c>
      <c r="AH27" s="119">
        <f t="shared" si="18"/>
        <v>0</v>
      </c>
      <c r="AI27" s="119">
        <f t="shared" si="9"/>
        <v>0</v>
      </c>
      <c r="AJ27" s="119">
        <f t="shared" si="10"/>
        <v>0</v>
      </c>
      <c r="AK27" s="119">
        <f t="shared" si="11"/>
        <v>0</v>
      </c>
      <c r="AL27" s="119">
        <f t="shared" si="12"/>
        <v>0</v>
      </c>
      <c r="AM27" s="119">
        <f t="shared" si="13"/>
        <v>0</v>
      </c>
      <c r="AN27" s="215">
        <f t="shared" si="14"/>
        <v>0</v>
      </c>
    </row>
    <row r="28" spans="1:40" ht="12.75" customHeight="1" x14ac:dyDescent="0.2">
      <c r="A28" s="21" t="s">
        <v>21</v>
      </c>
      <c r="B28" s="66" t="s">
        <v>50</v>
      </c>
      <c r="C28" s="115">
        <v>0</v>
      </c>
      <c r="D28" s="27"/>
      <c r="E28" s="27"/>
      <c r="F28" s="27">
        <f t="shared" si="15"/>
        <v>0</v>
      </c>
      <c r="G28" s="17"/>
      <c r="H28" s="17"/>
      <c r="I28" s="17"/>
      <c r="J28" s="17">
        <f t="shared" si="0"/>
        <v>0</v>
      </c>
      <c r="K28" s="17"/>
      <c r="L28" s="17">
        <f t="shared" si="1"/>
        <v>0</v>
      </c>
      <c r="M28" s="17"/>
      <c r="N28" s="81">
        <f t="shared" si="2"/>
        <v>0</v>
      </c>
      <c r="O28" s="115">
        <v>0</v>
      </c>
      <c r="P28" s="27"/>
      <c r="Q28" s="27"/>
      <c r="R28" s="27">
        <f t="shared" si="3"/>
        <v>0</v>
      </c>
      <c r="S28" s="17"/>
      <c r="T28" s="17"/>
      <c r="U28" s="17"/>
      <c r="V28" s="18">
        <f t="shared" si="4"/>
        <v>0</v>
      </c>
      <c r="W28" s="84">
        <v>0</v>
      </c>
      <c r="X28" s="27"/>
      <c r="Y28" s="27"/>
      <c r="Z28" s="27">
        <f t="shared" si="5"/>
        <v>0</v>
      </c>
      <c r="AA28" s="17"/>
      <c r="AB28" s="81">
        <f t="shared" si="16"/>
        <v>0</v>
      </c>
      <c r="AC28" s="50">
        <f t="shared" si="6"/>
        <v>0</v>
      </c>
      <c r="AD28" s="347">
        <f t="shared" si="7"/>
        <v>0</v>
      </c>
      <c r="AE28" s="347"/>
      <c r="AF28" s="347">
        <f t="shared" si="17"/>
        <v>0</v>
      </c>
      <c r="AG28" s="119">
        <f t="shared" si="8"/>
        <v>0</v>
      </c>
      <c r="AH28" s="119">
        <f t="shared" si="18"/>
        <v>0</v>
      </c>
      <c r="AI28" s="119">
        <f t="shared" si="9"/>
        <v>0</v>
      </c>
      <c r="AJ28" s="119">
        <f t="shared" si="10"/>
        <v>0</v>
      </c>
      <c r="AK28" s="119">
        <f t="shared" si="11"/>
        <v>0</v>
      </c>
      <c r="AL28" s="119">
        <f t="shared" si="12"/>
        <v>0</v>
      </c>
      <c r="AM28" s="119">
        <f t="shared" si="13"/>
        <v>0</v>
      </c>
      <c r="AN28" s="215">
        <f t="shared" si="14"/>
        <v>0</v>
      </c>
    </row>
    <row r="29" spans="1:40" s="30" customFormat="1" ht="12.75" customHeight="1" x14ac:dyDescent="0.2">
      <c r="A29" s="20" t="s">
        <v>22</v>
      </c>
      <c r="B29" s="206" t="s">
        <v>51</v>
      </c>
      <c r="C29" s="90">
        <f>C24+C25+C26+C27+C28</f>
        <v>0</v>
      </c>
      <c r="D29" s="26"/>
      <c r="E29" s="26"/>
      <c r="F29" s="27">
        <f t="shared" si="15"/>
        <v>0</v>
      </c>
      <c r="G29" s="17"/>
      <c r="H29" s="17"/>
      <c r="I29" s="17"/>
      <c r="J29" s="17">
        <f t="shared" si="0"/>
        <v>0</v>
      </c>
      <c r="K29" s="17"/>
      <c r="L29" s="17">
        <f t="shared" si="1"/>
        <v>0</v>
      </c>
      <c r="M29" s="17"/>
      <c r="N29" s="81">
        <f t="shared" si="2"/>
        <v>0</v>
      </c>
      <c r="O29" s="90">
        <v>0</v>
      </c>
      <c r="P29" s="26"/>
      <c r="Q29" s="26"/>
      <c r="R29" s="27">
        <f t="shared" si="3"/>
        <v>0</v>
      </c>
      <c r="S29" s="17"/>
      <c r="T29" s="17"/>
      <c r="U29" s="17"/>
      <c r="V29" s="18">
        <f t="shared" si="4"/>
        <v>0</v>
      </c>
      <c r="W29" s="86">
        <v>0</v>
      </c>
      <c r="X29" s="26"/>
      <c r="Y29" s="26"/>
      <c r="Z29" s="27">
        <f t="shared" si="5"/>
        <v>0</v>
      </c>
      <c r="AA29" s="17"/>
      <c r="AB29" s="81">
        <f t="shared" si="16"/>
        <v>0</v>
      </c>
      <c r="AC29" s="118">
        <f t="shared" si="6"/>
        <v>0</v>
      </c>
      <c r="AD29" s="347">
        <f t="shared" si="7"/>
        <v>0</v>
      </c>
      <c r="AE29" s="347"/>
      <c r="AF29" s="347">
        <f t="shared" si="17"/>
        <v>0</v>
      </c>
      <c r="AG29" s="119">
        <f t="shared" si="8"/>
        <v>0</v>
      </c>
      <c r="AH29" s="119">
        <f t="shared" si="18"/>
        <v>0</v>
      </c>
      <c r="AI29" s="119">
        <f t="shared" si="9"/>
        <v>0</v>
      </c>
      <c r="AJ29" s="119">
        <f t="shared" si="10"/>
        <v>0</v>
      </c>
      <c r="AK29" s="119">
        <f t="shared" si="11"/>
        <v>0</v>
      </c>
      <c r="AL29" s="119">
        <f t="shared" si="12"/>
        <v>0</v>
      </c>
      <c r="AM29" s="119">
        <f t="shared" si="13"/>
        <v>0</v>
      </c>
      <c r="AN29" s="215">
        <f t="shared" si="14"/>
        <v>0</v>
      </c>
    </row>
    <row r="30" spans="1:40" ht="12.75" customHeight="1" x14ac:dyDescent="0.2">
      <c r="A30" s="21" t="s">
        <v>23</v>
      </c>
      <c r="B30" s="66" t="s">
        <v>80</v>
      </c>
      <c r="C30" s="115">
        <v>0</v>
      </c>
      <c r="D30" s="27"/>
      <c r="E30" s="27"/>
      <c r="F30" s="27">
        <f t="shared" si="15"/>
        <v>0</v>
      </c>
      <c r="G30" s="17"/>
      <c r="H30" s="17"/>
      <c r="I30" s="17"/>
      <c r="J30" s="17">
        <f t="shared" si="0"/>
        <v>0</v>
      </c>
      <c r="K30" s="17"/>
      <c r="L30" s="17">
        <f t="shared" si="1"/>
        <v>0</v>
      </c>
      <c r="M30" s="17"/>
      <c r="N30" s="81">
        <f t="shared" si="2"/>
        <v>0</v>
      </c>
      <c r="O30" s="115">
        <v>0</v>
      </c>
      <c r="P30" s="27"/>
      <c r="Q30" s="27"/>
      <c r="R30" s="27">
        <f t="shared" si="3"/>
        <v>0</v>
      </c>
      <c r="S30" s="17"/>
      <c r="T30" s="17"/>
      <c r="U30" s="17"/>
      <c r="V30" s="18">
        <f t="shared" si="4"/>
        <v>0</v>
      </c>
      <c r="W30" s="84">
        <v>0</v>
      </c>
      <c r="X30" s="27"/>
      <c r="Y30" s="27"/>
      <c r="Z30" s="27">
        <f t="shared" si="5"/>
        <v>0</v>
      </c>
      <c r="AA30" s="17"/>
      <c r="AB30" s="81">
        <f t="shared" si="16"/>
        <v>0</v>
      </c>
      <c r="AC30" s="50">
        <f t="shared" si="6"/>
        <v>0</v>
      </c>
      <c r="AD30" s="347">
        <f t="shared" si="7"/>
        <v>0</v>
      </c>
      <c r="AE30" s="347"/>
      <c r="AF30" s="347">
        <f t="shared" si="17"/>
        <v>0</v>
      </c>
      <c r="AG30" s="119">
        <f t="shared" si="8"/>
        <v>0</v>
      </c>
      <c r="AH30" s="119">
        <f t="shared" si="18"/>
        <v>0</v>
      </c>
      <c r="AI30" s="119">
        <f t="shared" si="9"/>
        <v>0</v>
      </c>
      <c r="AJ30" s="119">
        <f t="shared" si="10"/>
        <v>0</v>
      </c>
      <c r="AK30" s="119">
        <f t="shared" si="11"/>
        <v>0</v>
      </c>
      <c r="AL30" s="119">
        <f t="shared" si="12"/>
        <v>0</v>
      </c>
      <c r="AM30" s="119">
        <f t="shared" si="13"/>
        <v>0</v>
      </c>
      <c r="AN30" s="215">
        <f t="shared" si="14"/>
        <v>0</v>
      </c>
    </row>
    <row r="31" spans="1:40" ht="12.75" customHeight="1" x14ac:dyDescent="0.2">
      <c r="A31" s="21" t="s">
        <v>24</v>
      </c>
      <c r="B31" s="66" t="s">
        <v>52</v>
      </c>
      <c r="C31" s="115">
        <v>0</v>
      </c>
      <c r="D31" s="27"/>
      <c r="E31" s="27"/>
      <c r="F31" s="27">
        <f t="shared" si="15"/>
        <v>0</v>
      </c>
      <c r="G31" s="17"/>
      <c r="H31" s="17"/>
      <c r="I31" s="17"/>
      <c r="J31" s="17">
        <f t="shared" si="0"/>
        <v>0</v>
      </c>
      <c r="K31" s="17"/>
      <c r="L31" s="17">
        <f t="shared" si="1"/>
        <v>0</v>
      </c>
      <c r="M31" s="17"/>
      <c r="N31" s="81">
        <f t="shared" si="2"/>
        <v>0</v>
      </c>
      <c r="O31" s="115">
        <v>0</v>
      </c>
      <c r="P31" s="27"/>
      <c r="Q31" s="27"/>
      <c r="R31" s="27">
        <f t="shared" si="3"/>
        <v>0</v>
      </c>
      <c r="S31" s="17"/>
      <c r="T31" s="17"/>
      <c r="U31" s="17"/>
      <c r="V31" s="18">
        <f t="shared" si="4"/>
        <v>0</v>
      </c>
      <c r="W31" s="84">
        <v>0</v>
      </c>
      <c r="X31" s="27"/>
      <c r="Y31" s="27"/>
      <c r="Z31" s="27">
        <f t="shared" si="5"/>
        <v>0</v>
      </c>
      <c r="AA31" s="17"/>
      <c r="AB31" s="81">
        <f t="shared" si="16"/>
        <v>0</v>
      </c>
      <c r="AC31" s="50">
        <f t="shared" si="6"/>
        <v>0</v>
      </c>
      <c r="AD31" s="347">
        <f t="shared" si="7"/>
        <v>0</v>
      </c>
      <c r="AE31" s="347"/>
      <c r="AF31" s="347">
        <f t="shared" si="17"/>
        <v>0</v>
      </c>
      <c r="AG31" s="119">
        <f t="shared" si="8"/>
        <v>0</v>
      </c>
      <c r="AH31" s="119">
        <f t="shared" si="18"/>
        <v>0</v>
      </c>
      <c r="AI31" s="119">
        <f t="shared" si="9"/>
        <v>0</v>
      </c>
      <c r="AJ31" s="119">
        <f t="shared" si="10"/>
        <v>0</v>
      </c>
      <c r="AK31" s="119">
        <f t="shared" si="11"/>
        <v>0</v>
      </c>
      <c r="AL31" s="119">
        <f t="shared" si="12"/>
        <v>0</v>
      </c>
      <c r="AM31" s="119">
        <f t="shared" si="13"/>
        <v>0</v>
      </c>
      <c r="AN31" s="215">
        <f t="shared" si="14"/>
        <v>0</v>
      </c>
    </row>
    <row r="32" spans="1:40" ht="12.75" customHeight="1" x14ac:dyDescent="0.2">
      <c r="A32" s="21" t="s">
        <v>25</v>
      </c>
      <c r="B32" s="66" t="s">
        <v>53</v>
      </c>
      <c r="C32" s="115">
        <v>0</v>
      </c>
      <c r="D32" s="27"/>
      <c r="E32" s="27"/>
      <c r="F32" s="27">
        <f t="shared" si="15"/>
        <v>0</v>
      </c>
      <c r="G32" s="17"/>
      <c r="H32" s="17"/>
      <c r="I32" s="17"/>
      <c r="J32" s="17">
        <f t="shared" si="0"/>
        <v>0</v>
      </c>
      <c r="K32" s="17"/>
      <c r="L32" s="17">
        <f t="shared" si="1"/>
        <v>0</v>
      </c>
      <c r="M32" s="17"/>
      <c r="N32" s="81">
        <f t="shared" si="2"/>
        <v>0</v>
      </c>
      <c r="O32" s="115">
        <v>0</v>
      </c>
      <c r="P32" s="27"/>
      <c r="Q32" s="27"/>
      <c r="R32" s="27">
        <f t="shared" si="3"/>
        <v>0</v>
      </c>
      <c r="S32" s="17"/>
      <c r="T32" s="17"/>
      <c r="U32" s="17"/>
      <c r="V32" s="18">
        <f t="shared" si="4"/>
        <v>0</v>
      </c>
      <c r="W32" s="84">
        <v>0</v>
      </c>
      <c r="X32" s="27"/>
      <c r="Y32" s="27"/>
      <c r="Z32" s="27">
        <f t="shared" si="5"/>
        <v>0</v>
      </c>
      <c r="AA32" s="17"/>
      <c r="AB32" s="81">
        <f t="shared" si="16"/>
        <v>0</v>
      </c>
      <c r="AC32" s="50">
        <f t="shared" si="6"/>
        <v>0</v>
      </c>
      <c r="AD32" s="347">
        <f t="shared" si="7"/>
        <v>0</v>
      </c>
      <c r="AE32" s="347"/>
      <c r="AF32" s="347">
        <f t="shared" si="17"/>
        <v>0</v>
      </c>
      <c r="AG32" s="119">
        <f t="shared" si="8"/>
        <v>0</v>
      </c>
      <c r="AH32" s="119">
        <f t="shared" si="18"/>
        <v>0</v>
      </c>
      <c r="AI32" s="119">
        <f t="shared" si="9"/>
        <v>0</v>
      </c>
      <c r="AJ32" s="119">
        <f t="shared" si="10"/>
        <v>0</v>
      </c>
      <c r="AK32" s="119">
        <f t="shared" si="11"/>
        <v>0</v>
      </c>
      <c r="AL32" s="119">
        <f t="shared" si="12"/>
        <v>0</v>
      </c>
      <c r="AM32" s="119">
        <f t="shared" si="13"/>
        <v>0</v>
      </c>
      <c r="AN32" s="215">
        <f t="shared" si="14"/>
        <v>0</v>
      </c>
    </row>
    <row r="33" spans="1:40" s="30" customFormat="1" ht="12.75" customHeight="1" x14ac:dyDescent="0.2">
      <c r="A33" s="20" t="s">
        <v>26</v>
      </c>
      <c r="B33" s="206" t="s">
        <v>54</v>
      </c>
      <c r="C33" s="90">
        <f>C30+C31+C32</f>
        <v>0</v>
      </c>
      <c r="D33" s="26"/>
      <c r="E33" s="26"/>
      <c r="F33" s="27">
        <f t="shared" si="15"/>
        <v>0</v>
      </c>
      <c r="G33" s="17"/>
      <c r="H33" s="17"/>
      <c r="I33" s="17"/>
      <c r="J33" s="17">
        <f t="shared" si="0"/>
        <v>0</v>
      </c>
      <c r="K33" s="17"/>
      <c r="L33" s="17">
        <f t="shared" si="1"/>
        <v>0</v>
      </c>
      <c r="M33" s="17"/>
      <c r="N33" s="81">
        <f t="shared" si="2"/>
        <v>0</v>
      </c>
      <c r="O33" s="90">
        <f>O30+O31+O32</f>
        <v>0</v>
      </c>
      <c r="P33" s="26"/>
      <c r="Q33" s="26"/>
      <c r="R33" s="27">
        <f t="shared" si="3"/>
        <v>0</v>
      </c>
      <c r="S33" s="17"/>
      <c r="T33" s="17"/>
      <c r="U33" s="17"/>
      <c r="V33" s="18">
        <f t="shared" si="4"/>
        <v>0</v>
      </c>
      <c r="W33" s="86">
        <f>W30+W31+W32</f>
        <v>0</v>
      </c>
      <c r="X33" s="26"/>
      <c r="Y33" s="26"/>
      <c r="Z33" s="27">
        <f t="shared" si="5"/>
        <v>0</v>
      </c>
      <c r="AA33" s="17"/>
      <c r="AB33" s="81">
        <f t="shared" si="16"/>
        <v>0</v>
      </c>
      <c r="AC33" s="118">
        <f t="shared" si="6"/>
        <v>0</v>
      </c>
      <c r="AD33" s="347">
        <f t="shared" si="7"/>
        <v>0</v>
      </c>
      <c r="AE33" s="347"/>
      <c r="AF33" s="347">
        <f t="shared" si="17"/>
        <v>0</v>
      </c>
      <c r="AG33" s="119">
        <f t="shared" si="8"/>
        <v>0</v>
      </c>
      <c r="AH33" s="119">
        <f t="shared" si="18"/>
        <v>0</v>
      </c>
      <c r="AI33" s="119">
        <f t="shared" si="9"/>
        <v>0</v>
      </c>
      <c r="AJ33" s="119">
        <f t="shared" si="10"/>
        <v>0</v>
      </c>
      <c r="AK33" s="119">
        <f t="shared" si="11"/>
        <v>0</v>
      </c>
      <c r="AL33" s="119">
        <f t="shared" si="12"/>
        <v>0</v>
      </c>
      <c r="AM33" s="119">
        <f t="shared" si="13"/>
        <v>0</v>
      </c>
      <c r="AN33" s="215">
        <f t="shared" si="14"/>
        <v>0</v>
      </c>
    </row>
    <row r="34" spans="1:40" s="30" customFormat="1" ht="12.75" customHeight="1" x14ac:dyDescent="0.2">
      <c r="A34" s="20" t="s">
        <v>27</v>
      </c>
      <c r="B34" s="206" t="s">
        <v>74</v>
      </c>
      <c r="C34" s="90">
        <f>C35+C36+C37</f>
        <v>119370093</v>
      </c>
      <c r="D34" s="26">
        <f t="shared" ref="D34:AC34" si="19">D35+D36+D37</f>
        <v>52000</v>
      </c>
      <c r="E34" s="104">
        <v>1571951</v>
      </c>
      <c r="F34" s="27">
        <f>SUM(C34:E34)</f>
        <v>120994044</v>
      </c>
      <c r="G34" s="17">
        <v>95</v>
      </c>
      <c r="H34" s="17">
        <v>121089</v>
      </c>
      <c r="I34" s="17">
        <v>67</v>
      </c>
      <c r="J34" s="17">
        <f t="shared" si="0"/>
        <v>121156</v>
      </c>
      <c r="K34" s="17">
        <v>26</v>
      </c>
      <c r="L34" s="17">
        <f t="shared" si="1"/>
        <v>121182</v>
      </c>
      <c r="M34" s="17">
        <v>-36</v>
      </c>
      <c r="N34" s="81">
        <f t="shared" si="2"/>
        <v>121146</v>
      </c>
      <c r="O34" s="90">
        <f t="shared" si="19"/>
        <v>12525920</v>
      </c>
      <c r="P34" s="26">
        <f t="shared" si="19"/>
        <v>412000</v>
      </c>
      <c r="Q34" s="26"/>
      <c r="R34" s="27">
        <f t="shared" si="3"/>
        <v>12937920</v>
      </c>
      <c r="S34" s="17">
        <v>-70</v>
      </c>
      <c r="T34" s="17">
        <v>12868</v>
      </c>
      <c r="U34" s="17">
        <v>72</v>
      </c>
      <c r="V34" s="18">
        <f t="shared" si="4"/>
        <v>12940</v>
      </c>
      <c r="W34" s="86">
        <f t="shared" si="19"/>
        <v>239000</v>
      </c>
      <c r="X34" s="26">
        <f t="shared" si="19"/>
        <v>0</v>
      </c>
      <c r="Y34" s="26"/>
      <c r="Z34" s="27">
        <f t="shared" si="5"/>
        <v>239000</v>
      </c>
      <c r="AA34" s="17">
        <v>-239</v>
      </c>
      <c r="AB34" s="81">
        <v>0</v>
      </c>
      <c r="AC34" s="118">
        <f t="shared" si="19"/>
        <v>132135013</v>
      </c>
      <c r="AD34" s="347">
        <f t="shared" si="7"/>
        <v>464000</v>
      </c>
      <c r="AE34" s="349">
        <v>1572</v>
      </c>
      <c r="AF34" s="349">
        <v>134171</v>
      </c>
      <c r="AG34" s="119">
        <f t="shared" si="8"/>
        <v>25</v>
      </c>
      <c r="AH34" s="119">
        <f t="shared" si="18"/>
        <v>134196</v>
      </c>
      <c r="AI34" s="119">
        <f t="shared" si="9"/>
        <v>67</v>
      </c>
      <c r="AJ34" s="119">
        <f t="shared" si="10"/>
        <v>134263</v>
      </c>
      <c r="AK34" s="119">
        <f t="shared" si="11"/>
        <v>26</v>
      </c>
      <c r="AL34" s="119">
        <f t="shared" si="12"/>
        <v>134289</v>
      </c>
      <c r="AM34" s="119">
        <f t="shared" si="13"/>
        <v>-203</v>
      </c>
      <c r="AN34" s="215">
        <f t="shared" si="14"/>
        <v>134086</v>
      </c>
    </row>
    <row r="35" spans="1:40" s="31" customFormat="1" ht="12.75" customHeight="1" x14ac:dyDescent="0.2">
      <c r="A35" s="28" t="s">
        <v>28</v>
      </c>
      <c r="B35" s="79" t="s">
        <v>75</v>
      </c>
      <c r="C35" s="46">
        <v>119370093</v>
      </c>
      <c r="D35" s="43">
        <v>52000</v>
      </c>
      <c r="E35" s="104">
        <v>1571951</v>
      </c>
      <c r="F35" s="27">
        <f>SUM(C35:E35)</f>
        <v>120994044</v>
      </c>
      <c r="G35" s="17">
        <v>95</v>
      </c>
      <c r="H35" s="17">
        <v>121089</v>
      </c>
      <c r="I35" s="17">
        <v>67</v>
      </c>
      <c r="J35" s="17">
        <f t="shared" si="0"/>
        <v>121156</v>
      </c>
      <c r="K35" s="17">
        <v>26</v>
      </c>
      <c r="L35" s="17">
        <f t="shared" si="1"/>
        <v>121182</v>
      </c>
      <c r="M35" s="17">
        <v>-36</v>
      </c>
      <c r="N35" s="81">
        <f t="shared" si="2"/>
        <v>121146</v>
      </c>
      <c r="O35" s="46">
        <v>12525920</v>
      </c>
      <c r="P35" s="43"/>
      <c r="Q35" s="43"/>
      <c r="R35" s="27">
        <f t="shared" si="3"/>
        <v>12525920</v>
      </c>
      <c r="S35" s="17">
        <v>-70</v>
      </c>
      <c r="T35" s="17">
        <v>12456</v>
      </c>
      <c r="U35" s="17">
        <v>72</v>
      </c>
      <c r="V35" s="18">
        <f t="shared" si="4"/>
        <v>12528</v>
      </c>
      <c r="W35" s="85">
        <v>239000</v>
      </c>
      <c r="X35" s="43"/>
      <c r="Y35" s="43"/>
      <c r="Z35" s="27">
        <f t="shared" si="5"/>
        <v>239000</v>
      </c>
      <c r="AA35" s="17">
        <v>-239</v>
      </c>
      <c r="AB35" s="81">
        <v>0</v>
      </c>
      <c r="AC35" s="124">
        <f t="shared" si="6"/>
        <v>132135013</v>
      </c>
      <c r="AD35" s="347">
        <f t="shared" si="7"/>
        <v>52000</v>
      </c>
      <c r="AE35" s="349">
        <v>1572</v>
      </c>
      <c r="AF35" s="349">
        <v>133759</v>
      </c>
      <c r="AG35" s="119">
        <f t="shared" si="8"/>
        <v>25</v>
      </c>
      <c r="AH35" s="119">
        <f t="shared" si="18"/>
        <v>133784</v>
      </c>
      <c r="AI35" s="119">
        <f t="shared" si="9"/>
        <v>67</v>
      </c>
      <c r="AJ35" s="119">
        <f t="shared" si="10"/>
        <v>133851</v>
      </c>
      <c r="AK35" s="119">
        <f t="shared" si="11"/>
        <v>26</v>
      </c>
      <c r="AL35" s="119">
        <f t="shared" si="12"/>
        <v>133877</v>
      </c>
      <c r="AM35" s="119">
        <f t="shared" si="13"/>
        <v>-203</v>
      </c>
      <c r="AN35" s="215">
        <f t="shared" si="14"/>
        <v>133674</v>
      </c>
    </row>
    <row r="36" spans="1:40" s="31" customFormat="1" ht="12.75" customHeight="1" x14ac:dyDescent="0.2">
      <c r="A36" s="28" t="s">
        <v>29</v>
      </c>
      <c r="B36" s="79" t="s">
        <v>81</v>
      </c>
      <c r="C36" s="46">
        <v>0</v>
      </c>
      <c r="D36" s="43"/>
      <c r="E36" s="43"/>
      <c r="F36" s="27">
        <f t="shared" si="15"/>
        <v>0</v>
      </c>
      <c r="G36" s="17"/>
      <c r="H36" s="17"/>
      <c r="I36" s="17"/>
      <c r="J36" s="17">
        <f t="shared" si="0"/>
        <v>0</v>
      </c>
      <c r="K36" s="17"/>
      <c r="L36" s="17">
        <f t="shared" si="1"/>
        <v>0</v>
      </c>
      <c r="M36" s="17"/>
      <c r="N36" s="81">
        <f t="shared" si="2"/>
        <v>0</v>
      </c>
      <c r="O36" s="46">
        <v>0</v>
      </c>
      <c r="P36" s="43">
        <v>412000</v>
      </c>
      <c r="Q36" s="43"/>
      <c r="R36" s="27">
        <f t="shared" si="3"/>
        <v>412000</v>
      </c>
      <c r="S36" s="17"/>
      <c r="T36" s="17">
        <v>412</v>
      </c>
      <c r="U36" s="17"/>
      <c r="V36" s="18">
        <f t="shared" si="4"/>
        <v>412</v>
      </c>
      <c r="W36" s="85">
        <v>0</v>
      </c>
      <c r="X36" s="43"/>
      <c r="Y36" s="43"/>
      <c r="Z36" s="27">
        <f t="shared" si="5"/>
        <v>0</v>
      </c>
      <c r="AA36" s="17"/>
      <c r="AB36" s="81">
        <f t="shared" si="16"/>
        <v>0</v>
      </c>
      <c r="AC36" s="50">
        <f t="shared" si="6"/>
        <v>0</v>
      </c>
      <c r="AD36" s="347">
        <f t="shared" si="7"/>
        <v>412000</v>
      </c>
      <c r="AE36" s="347"/>
      <c r="AF36" s="347">
        <f t="shared" si="17"/>
        <v>412000</v>
      </c>
      <c r="AG36" s="119">
        <f t="shared" si="8"/>
        <v>0</v>
      </c>
      <c r="AH36" s="119">
        <v>412</v>
      </c>
      <c r="AI36" s="119">
        <f t="shared" si="9"/>
        <v>0</v>
      </c>
      <c r="AJ36" s="119">
        <f t="shared" si="10"/>
        <v>412</v>
      </c>
      <c r="AK36" s="119">
        <f t="shared" si="11"/>
        <v>0</v>
      </c>
      <c r="AL36" s="119">
        <f t="shared" si="12"/>
        <v>412</v>
      </c>
      <c r="AM36" s="119">
        <f t="shared" si="13"/>
        <v>0</v>
      </c>
      <c r="AN36" s="215">
        <f t="shared" si="14"/>
        <v>412</v>
      </c>
    </row>
    <row r="37" spans="1:40" s="31" customFormat="1" ht="12.75" customHeight="1" x14ac:dyDescent="0.2">
      <c r="A37" s="28" t="s">
        <v>30</v>
      </c>
      <c r="B37" s="79" t="s">
        <v>76</v>
      </c>
      <c r="C37" s="46">
        <v>0</v>
      </c>
      <c r="D37" s="43"/>
      <c r="E37" s="43"/>
      <c r="F37" s="27">
        <f t="shared" si="15"/>
        <v>0</v>
      </c>
      <c r="G37" s="17"/>
      <c r="H37" s="17"/>
      <c r="I37" s="17"/>
      <c r="J37" s="17">
        <f t="shared" si="0"/>
        <v>0</v>
      </c>
      <c r="K37" s="17"/>
      <c r="L37" s="17">
        <f t="shared" si="1"/>
        <v>0</v>
      </c>
      <c r="M37" s="17"/>
      <c r="N37" s="81">
        <f t="shared" si="2"/>
        <v>0</v>
      </c>
      <c r="O37" s="46">
        <v>0</v>
      </c>
      <c r="P37" s="43"/>
      <c r="Q37" s="43"/>
      <c r="R37" s="27">
        <f t="shared" si="3"/>
        <v>0</v>
      </c>
      <c r="S37" s="17"/>
      <c r="T37" s="17"/>
      <c r="U37" s="17"/>
      <c r="V37" s="18">
        <f t="shared" si="4"/>
        <v>0</v>
      </c>
      <c r="W37" s="85">
        <v>0</v>
      </c>
      <c r="X37" s="43"/>
      <c r="Y37" s="43"/>
      <c r="Z37" s="27">
        <f t="shared" si="5"/>
        <v>0</v>
      </c>
      <c r="AA37" s="17"/>
      <c r="AB37" s="81">
        <f t="shared" si="16"/>
        <v>0</v>
      </c>
      <c r="AC37" s="50">
        <f t="shared" si="6"/>
        <v>0</v>
      </c>
      <c r="AD37" s="347">
        <f t="shared" si="7"/>
        <v>0</v>
      </c>
      <c r="AE37" s="347"/>
      <c r="AF37" s="347">
        <f t="shared" si="17"/>
        <v>0</v>
      </c>
      <c r="AG37" s="119">
        <f t="shared" si="8"/>
        <v>0</v>
      </c>
      <c r="AH37" s="119">
        <f t="shared" si="18"/>
        <v>0</v>
      </c>
      <c r="AI37" s="119">
        <f t="shared" si="9"/>
        <v>0</v>
      </c>
      <c r="AJ37" s="119">
        <f t="shared" si="10"/>
        <v>0</v>
      </c>
      <c r="AK37" s="119">
        <f t="shared" si="11"/>
        <v>0</v>
      </c>
      <c r="AL37" s="119">
        <f t="shared" si="12"/>
        <v>0</v>
      </c>
      <c r="AM37" s="119">
        <f t="shared" si="13"/>
        <v>0</v>
      </c>
      <c r="AN37" s="215">
        <f t="shared" si="14"/>
        <v>0</v>
      </c>
    </row>
    <row r="38" spans="1:40" s="30" customFormat="1" ht="12.75" customHeight="1" x14ac:dyDescent="0.2">
      <c r="A38" s="20" t="s">
        <v>31</v>
      </c>
      <c r="B38" s="206" t="s">
        <v>56</v>
      </c>
      <c r="C38" s="90">
        <f>C34+C33+C29</f>
        <v>119370093</v>
      </c>
      <c r="D38" s="26">
        <f>SUM(D34)</f>
        <v>52000</v>
      </c>
      <c r="E38" s="104">
        <v>1571951</v>
      </c>
      <c r="F38" s="27">
        <f>SUM(C38:E38)</f>
        <v>120994044</v>
      </c>
      <c r="G38" s="17">
        <v>95</v>
      </c>
      <c r="H38" s="17">
        <v>121089</v>
      </c>
      <c r="I38" s="17">
        <v>67</v>
      </c>
      <c r="J38" s="17">
        <f t="shared" si="0"/>
        <v>121156</v>
      </c>
      <c r="K38" s="17">
        <v>26</v>
      </c>
      <c r="L38" s="17">
        <f t="shared" si="1"/>
        <v>121182</v>
      </c>
      <c r="M38" s="17">
        <v>-36</v>
      </c>
      <c r="N38" s="81">
        <f t="shared" si="2"/>
        <v>121146</v>
      </c>
      <c r="O38" s="90">
        <f>O34+O33+O29</f>
        <v>12525920</v>
      </c>
      <c r="P38" s="26">
        <f>SUM(P34)</f>
        <v>412000</v>
      </c>
      <c r="Q38" s="26"/>
      <c r="R38" s="27">
        <f t="shared" si="3"/>
        <v>12937920</v>
      </c>
      <c r="S38" s="17">
        <v>-70</v>
      </c>
      <c r="T38" s="17">
        <v>12868</v>
      </c>
      <c r="U38" s="17">
        <v>72</v>
      </c>
      <c r="V38" s="18">
        <f t="shared" si="4"/>
        <v>12940</v>
      </c>
      <c r="W38" s="86">
        <f>W34+W33+W29</f>
        <v>239000</v>
      </c>
      <c r="X38" s="26"/>
      <c r="Y38" s="26"/>
      <c r="Z38" s="27">
        <f t="shared" si="5"/>
        <v>239000</v>
      </c>
      <c r="AA38" s="17">
        <v>-239</v>
      </c>
      <c r="AB38" s="81">
        <v>0</v>
      </c>
      <c r="AC38" s="118">
        <f t="shared" si="6"/>
        <v>132135013</v>
      </c>
      <c r="AD38" s="347">
        <f t="shared" si="7"/>
        <v>464000</v>
      </c>
      <c r="AE38" s="349">
        <v>1572</v>
      </c>
      <c r="AF38" s="349">
        <v>134171</v>
      </c>
      <c r="AG38" s="119">
        <f t="shared" si="8"/>
        <v>25</v>
      </c>
      <c r="AH38" s="119">
        <f t="shared" si="18"/>
        <v>134196</v>
      </c>
      <c r="AI38" s="119">
        <f t="shared" si="9"/>
        <v>67</v>
      </c>
      <c r="AJ38" s="119">
        <f t="shared" si="10"/>
        <v>134263</v>
      </c>
      <c r="AK38" s="119">
        <f t="shared" si="11"/>
        <v>26</v>
      </c>
      <c r="AL38" s="119">
        <f t="shared" si="12"/>
        <v>134289</v>
      </c>
      <c r="AM38" s="119">
        <f t="shared" si="13"/>
        <v>-203</v>
      </c>
      <c r="AN38" s="215">
        <f t="shared" si="14"/>
        <v>134086</v>
      </c>
    </row>
    <row r="39" spans="1:40" ht="12.75" customHeight="1" thickBot="1" x14ac:dyDescent="0.25">
      <c r="A39" s="23" t="s">
        <v>32</v>
      </c>
      <c r="B39" s="207" t="s">
        <v>33</v>
      </c>
      <c r="C39" s="91">
        <v>30</v>
      </c>
      <c r="D39" s="80"/>
      <c r="E39" s="238" t="s">
        <v>140</v>
      </c>
      <c r="F39" s="238" t="s">
        <v>141</v>
      </c>
      <c r="G39" s="239"/>
      <c r="H39" s="239"/>
      <c r="I39" s="239"/>
      <c r="J39" s="116">
        <f t="shared" si="0"/>
        <v>0</v>
      </c>
      <c r="K39" s="116"/>
      <c r="L39" s="116">
        <f t="shared" si="1"/>
        <v>0</v>
      </c>
      <c r="M39" s="116">
        <v>-1</v>
      </c>
      <c r="N39" s="81">
        <v>30</v>
      </c>
      <c r="O39" s="209"/>
      <c r="P39" s="80"/>
      <c r="Q39" s="80"/>
      <c r="R39" s="80">
        <f t="shared" si="3"/>
        <v>0</v>
      </c>
      <c r="S39" s="116"/>
      <c r="T39" s="116"/>
      <c r="U39" s="116"/>
      <c r="V39" s="18">
        <f t="shared" si="4"/>
        <v>0</v>
      </c>
      <c r="W39" s="333"/>
      <c r="X39" s="80"/>
      <c r="Y39" s="80"/>
      <c r="Z39" s="210">
        <f t="shared" si="5"/>
        <v>0</v>
      </c>
      <c r="AA39" s="210"/>
      <c r="AB39" s="81">
        <f t="shared" si="16"/>
        <v>0</v>
      </c>
      <c r="AC39" s="351">
        <f>C39</f>
        <v>30</v>
      </c>
      <c r="AD39" s="352">
        <f t="shared" si="7"/>
        <v>0</v>
      </c>
      <c r="AE39" s="353" t="s">
        <v>140</v>
      </c>
      <c r="AF39" s="353" t="s">
        <v>141</v>
      </c>
      <c r="AG39" s="213"/>
      <c r="AH39" s="354">
        <v>31</v>
      </c>
      <c r="AI39" s="212">
        <f t="shared" si="9"/>
        <v>0</v>
      </c>
      <c r="AJ39" s="212">
        <f t="shared" si="10"/>
        <v>31</v>
      </c>
      <c r="AK39" s="212">
        <f t="shared" si="11"/>
        <v>0</v>
      </c>
      <c r="AL39" s="212">
        <f t="shared" si="12"/>
        <v>31</v>
      </c>
      <c r="AM39" s="119">
        <f t="shared" si="13"/>
        <v>-1</v>
      </c>
      <c r="AN39" s="215">
        <f t="shared" si="14"/>
        <v>30</v>
      </c>
    </row>
    <row r="40" spans="1:40" x14ac:dyDescent="0.2">
      <c r="O40" s="4"/>
      <c r="P40" s="4"/>
      <c r="Q40" s="4"/>
      <c r="W40" s="4"/>
    </row>
    <row r="41" spans="1:40" x14ac:dyDescent="0.2">
      <c r="O41" s="4"/>
      <c r="P41" s="4"/>
      <c r="Q41" s="4"/>
    </row>
    <row r="42" spans="1:40" x14ac:dyDescent="0.2">
      <c r="O42" s="4"/>
      <c r="P42" s="4"/>
      <c r="Q42" s="4"/>
    </row>
    <row r="43" spans="1:40" x14ac:dyDescent="0.2">
      <c r="O43" s="4"/>
      <c r="P43" s="4"/>
      <c r="Q43" s="4"/>
    </row>
    <row r="44" spans="1:40" x14ac:dyDescent="0.2">
      <c r="O44" s="4"/>
      <c r="P44" s="4"/>
      <c r="Q44" s="4"/>
    </row>
    <row r="45" spans="1:40" x14ac:dyDescent="0.2">
      <c r="O45" s="4"/>
      <c r="P45" s="4"/>
      <c r="Q45" s="4"/>
    </row>
  </sheetData>
  <mergeCells count="47">
    <mergeCell ref="AC4:AN4"/>
    <mergeCell ref="S5:S6"/>
    <mergeCell ref="T5:T6"/>
    <mergeCell ref="E5:E6"/>
    <mergeCell ref="G5:G6"/>
    <mergeCell ref="O4:V4"/>
    <mergeCell ref="U5:U6"/>
    <mergeCell ref="V5:V6"/>
    <mergeCell ref="N5:N6"/>
    <mergeCell ref="AM5:AM6"/>
    <mergeCell ref="AN5:AN6"/>
    <mergeCell ref="I5:I6"/>
    <mergeCell ref="J5:J6"/>
    <mergeCell ref="K5:K6"/>
    <mergeCell ref="L5:L6"/>
    <mergeCell ref="A23:B23"/>
    <mergeCell ref="R5:R6"/>
    <mergeCell ref="AC5:AC6"/>
    <mergeCell ref="AD5:AD6"/>
    <mergeCell ref="AF5:AF6"/>
    <mergeCell ref="P5:P6"/>
    <mergeCell ref="O5:O6"/>
    <mergeCell ref="C5:C6"/>
    <mergeCell ref="D5:D6"/>
    <mergeCell ref="F5:F6"/>
    <mergeCell ref="A3:B6"/>
    <mergeCell ref="A8:B8"/>
    <mergeCell ref="A7:B7"/>
    <mergeCell ref="W4:AB4"/>
    <mergeCell ref="AA5:AA6"/>
    <mergeCell ref="AB5:AB6"/>
    <mergeCell ref="C3:AL3"/>
    <mergeCell ref="AI5:AI6"/>
    <mergeCell ref="AJ5:AJ6"/>
    <mergeCell ref="Q5:Q6"/>
    <mergeCell ref="W5:W6"/>
    <mergeCell ref="X5:X6"/>
    <mergeCell ref="Z5:Z6"/>
    <mergeCell ref="Y5:Y6"/>
    <mergeCell ref="AG5:AG6"/>
    <mergeCell ref="AH5:AH6"/>
    <mergeCell ref="AK5:AK6"/>
    <mergeCell ref="AL5:AL6"/>
    <mergeCell ref="H5:H6"/>
    <mergeCell ref="AE5:AE6"/>
    <mergeCell ref="C4:N4"/>
    <mergeCell ref="M5:M6"/>
  </mergeCells>
  <phoneticPr fontId="2" type="noConversion"/>
  <printOptions horizontalCentered="1"/>
  <pageMargins left="0.31496062992125984" right="0.70866141732283472" top="0.51181102362204722" bottom="0.74803149606299213" header="0.31496062992125984" footer="0.31496062992125984"/>
  <pageSetup paperSize="9" scale="65" orientation="landscape" r:id="rId1"/>
  <headerFooter>
    <oddHeader>&amp;CAbonyi Gyöngyszemek Óvoda
&amp;R3. sz.melléklet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A62"/>
  <sheetViews>
    <sheetView zoomScale="72" zoomScaleNormal="72" zoomScaleSheetLayoutView="85" workbookViewId="0">
      <pane xSplit="2" ySplit="7" topLeftCell="AH23" activePane="bottomRight" state="frozen"/>
      <selection pane="topRight" activeCell="C1" sqref="C1"/>
      <selection pane="bottomLeft" activeCell="A8" sqref="A8"/>
      <selection pane="bottomRight" activeCell="J40" sqref="J40"/>
    </sheetView>
  </sheetViews>
  <sheetFormatPr defaultColWidth="9.140625" defaultRowHeight="12.75" x14ac:dyDescent="0.2"/>
  <cols>
    <col min="1" max="1" width="3.7109375" style="1" customWidth="1"/>
    <col min="2" max="2" width="46.140625" style="1" customWidth="1"/>
    <col min="3" max="3" width="13.140625" style="1" bestFit="1" customWidth="1"/>
    <col min="4" max="4" width="9.85546875" style="1" customWidth="1"/>
    <col min="5" max="11" width="9.7109375" style="1" customWidth="1"/>
    <col min="12" max="12" width="12.7109375" style="1" customWidth="1"/>
    <col min="13" max="18" width="9.7109375" style="1" customWidth="1"/>
    <col min="19" max="19" width="10.5703125" style="1" customWidth="1"/>
    <col min="20" max="20" width="9.28515625" style="1" customWidth="1"/>
    <col min="21" max="27" width="10.28515625" style="1" customWidth="1"/>
    <col min="28" max="28" width="12.7109375" style="1" customWidth="1"/>
    <col min="29" max="29" width="9.140625" style="1"/>
    <col min="30" max="38" width="10" style="1" customWidth="1"/>
    <col min="39" max="39" width="14.28515625" style="1" bestFit="1" customWidth="1"/>
    <col min="40" max="40" width="9.140625" style="1"/>
    <col min="41" max="41" width="10" style="1" customWidth="1"/>
    <col min="42" max="47" width="9.140625" style="1"/>
    <col min="48" max="48" width="10.5703125" style="1" customWidth="1"/>
    <col min="49" max="49" width="10.28515625" style="1" customWidth="1"/>
    <col min="50" max="16384" width="9.140625" style="1"/>
  </cols>
  <sheetData>
    <row r="1" spans="1:49" x14ac:dyDescent="0.2"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6"/>
      <c r="U1" s="6"/>
      <c r="V1" s="6"/>
      <c r="W1" s="6"/>
      <c r="X1" s="6"/>
      <c r="Y1" s="6"/>
      <c r="Z1" s="6"/>
      <c r="AA1" s="6"/>
      <c r="AB1" s="6"/>
    </row>
    <row r="2" spans="1:49" ht="13.5" thickBot="1" x14ac:dyDescent="0.25">
      <c r="AO2" s="2" t="s">
        <v>0</v>
      </c>
    </row>
    <row r="3" spans="1:49" ht="13.5" thickBot="1" x14ac:dyDescent="0.25">
      <c r="A3" s="577" t="s">
        <v>1</v>
      </c>
      <c r="B3" s="578"/>
      <c r="C3" s="587">
        <v>685786</v>
      </c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588"/>
      <c r="AH3" s="588"/>
      <c r="AI3" s="588"/>
      <c r="AJ3" s="588"/>
      <c r="AK3" s="588"/>
      <c r="AL3" s="588"/>
      <c r="AM3" s="588"/>
      <c r="AN3" s="588"/>
      <c r="AO3" s="588"/>
      <c r="AP3" s="588"/>
      <c r="AQ3" s="588"/>
      <c r="AR3" s="588"/>
      <c r="AS3" s="588"/>
      <c r="AT3" s="588"/>
      <c r="AU3" s="588"/>
    </row>
    <row r="4" spans="1:49" ht="44.25" customHeight="1" x14ac:dyDescent="0.2">
      <c r="A4" s="579"/>
      <c r="B4" s="580"/>
      <c r="C4" s="536" t="s">
        <v>146</v>
      </c>
      <c r="D4" s="537"/>
      <c r="E4" s="537"/>
      <c r="F4" s="537"/>
      <c r="G4" s="537"/>
      <c r="H4" s="537"/>
      <c r="I4" s="537"/>
      <c r="J4" s="537"/>
      <c r="K4" s="537"/>
      <c r="L4" s="551" t="s">
        <v>115</v>
      </c>
      <c r="M4" s="552"/>
      <c r="N4" s="552"/>
      <c r="O4" s="552"/>
      <c r="P4" s="552"/>
      <c r="Q4" s="552"/>
      <c r="R4" s="552"/>
      <c r="S4" s="536" t="s">
        <v>95</v>
      </c>
      <c r="T4" s="537"/>
      <c r="U4" s="537"/>
      <c r="V4" s="537"/>
      <c r="W4" s="537"/>
      <c r="X4" s="537"/>
      <c r="Y4" s="537"/>
      <c r="Z4" s="537"/>
      <c r="AA4" s="537"/>
      <c r="AB4" s="536" t="s">
        <v>108</v>
      </c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84" t="s">
        <v>62</v>
      </c>
      <c r="AN4" s="585"/>
      <c r="AO4" s="585"/>
      <c r="AP4" s="585"/>
      <c r="AQ4" s="585"/>
      <c r="AR4" s="585"/>
      <c r="AS4" s="585"/>
      <c r="AT4" s="585"/>
      <c r="AU4" s="585"/>
      <c r="AV4" s="585"/>
      <c r="AW4" s="586"/>
    </row>
    <row r="5" spans="1:49" x14ac:dyDescent="0.2">
      <c r="A5" s="579"/>
      <c r="B5" s="580"/>
      <c r="C5" s="450" t="s">
        <v>36</v>
      </c>
      <c r="D5" s="451" t="s">
        <v>129</v>
      </c>
      <c r="E5" s="451" t="s">
        <v>130</v>
      </c>
      <c r="F5" s="451" t="s">
        <v>144</v>
      </c>
      <c r="G5" s="451" t="s">
        <v>145</v>
      </c>
      <c r="H5" s="451" t="s">
        <v>167</v>
      </c>
      <c r="I5" s="451" t="s">
        <v>175</v>
      </c>
      <c r="J5" s="464" t="s">
        <v>176</v>
      </c>
      <c r="K5" s="466" t="s">
        <v>177</v>
      </c>
      <c r="L5" s="450" t="s">
        <v>36</v>
      </c>
      <c r="M5" s="451" t="s">
        <v>129</v>
      </c>
      <c r="N5" s="451" t="s">
        <v>130</v>
      </c>
      <c r="O5" s="451" t="s">
        <v>144</v>
      </c>
      <c r="P5" s="451" t="s">
        <v>175</v>
      </c>
      <c r="Q5" s="464" t="s">
        <v>176</v>
      </c>
      <c r="R5" s="466" t="s">
        <v>177</v>
      </c>
      <c r="S5" s="450" t="s">
        <v>36</v>
      </c>
      <c r="T5" s="451" t="s">
        <v>129</v>
      </c>
      <c r="U5" s="451" t="s">
        <v>130</v>
      </c>
      <c r="V5" s="451" t="s">
        <v>144</v>
      </c>
      <c r="W5" s="451" t="s">
        <v>145</v>
      </c>
      <c r="X5" s="451" t="s">
        <v>167</v>
      </c>
      <c r="Y5" s="451" t="s">
        <v>175</v>
      </c>
      <c r="Z5" s="464" t="s">
        <v>176</v>
      </c>
      <c r="AA5" s="466" t="s">
        <v>177</v>
      </c>
      <c r="AB5" s="450" t="s">
        <v>36</v>
      </c>
      <c r="AC5" s="451" t="s">
        <v>129</v>
      </c>
      <c r="AD5" s="451" t="s">
        <v>130</v>
      </c>
      <c r="AE5" s="451" t="s">
        <v>144</v>
      </c>
      <c r="AF5" s="451" t="s">
        <v>145</v>
      </c>
      <c r="AG5" s="451" t="s">
        <v>167</v>
      </c>
      <c r="AH5" s="451" t="s">
        <v>168</v>
      </c>
      <c r="AI5" s="451" t="s">
        <v>174</v>
      </c>
      <c r="AJ5" s="451" t="s">
        <v>175</v>
      </c>
      <c r="AK5" s="464" t="s">
        <v>176</v>
      </c>
      <c r="AL5" s="466" t="s">
        <v>177</v>
      </c>
      <c r="AM5" s="450" t="s">
        <v>36</v>
      </c>
      <c r="AN5" s="451" t="s">
        <v>129</v>
      </c>
      <c r="AO5" s="451" t="s">
        <v>130</v>
      </c>
      <c r="AP5" s="459" t="s">
        <v>144</v>
      </c>
      <c r="AQ5" s="459" t="s">
        <v>145</v>
      </c>
      <c r="AR5" s="459" t="s">
        <v>167</v>
      </c>
      <c r="AS5" s="459" t="s">
        <v>168</v>
      </c>
      <c r="AT5" s="459" t="s">
        <v>174</v>
      </c>
      <c r="AU5" s="459" t="s">
        <v>175</v>
      </c>
      <c r="AV5" s="455" t="s">
        <v>176</v>
      </c>
      <c r="AW5" s="457" t="s">
        <v>177</v>
      </c>
    </row>
    <row r="6" spans="1:49" x14ac:dyDescent="0.2">
      <c r="A6" s="579"/>
      <c r="B6" s="580"/>
      <c r="C6" s="450"/>
      <c r="D6" s="451"/>
      <c r="E6" s="451"/>
      <c r="F6" s="451"/>
      <c r="G6" s="451"/>
      <c r="H6" s="451"/>
      <c r="I6" s="451"/>
      <c r="J6" s="465"/>
      <c r="K6" s="467"/>
      <c r="L6" s="450"/>
      <c r="M6" s="451"/>
      <c r="N6" s="451"/>
      <c r="O6" s="451"/>
      <c r="P6" s="451"/>
      <c r="Q6" s="465"/>
      <c r="R6" s="467"/>
      <c r="S6" s="450"/>
      <c r="T6" s="451"/>
      <c r="U6" s="451"/>
      <c r="V6" s="451"/>
      <c r="W6" s="451"/>
      <c r="X6" s="451"/>
      <c r="Y6" s="451"/>
      <c r="Z6" s="465"/>
      <c r="AA6" s="467"/>
      <c r="AB6" s="450"/>
      <c r="AC6" s="451"/>
      <c r="AD6" s="451"/>
      <c r="AE6" s="451"/>
      <c r="AF6" s="451"/>
      <c r="AG6" s="451"/>
      <c r="AH6" s="451"/>
      <c r="AI6" s="451"/>
      <c r="AJ6" s="451"/>
      <c r="AK6" s="465"/>
      <c r="AL6" s="467"/>
      <c r="AM6" s="450"/>
      <c r="AN6" s="451"/>
      <c r="AO6" s="451"/>
      <c r="AP6" s="459"/>
      <c r="AQ6" s="459"/>
      <c r="AR6" s="459"/>
      <c r="AS6" s="459"/>
      <c r="AT6" s="459"/>
      <c r="AU6" s="459"/>
      <c r="AV6" s="456"/>
      <c r="AW6" s="458"/>
    </row>
    <row r="7" spans="1:49" x14ac:dyDescent="0.2">
      <c r="A7" s="591">
        <v>1</v>
      </c>
      <c r="B7" s="592"/>
      <c r="C7" s="326">
        <v>2</v>
      </c>
      <c r="D7" s="327">
        <v>3</v>
      </c>
      <c r="E7" s="327">
        <v>4</v>
      </c>
      <c r="F7" s="327"/>
      <c r="G7" s="327"/>
      <c r="H7" s="327"/>
      <c r="I7" s="327"/>
      <c r="J7" s="327"/>
      <c r="K7" s="330"/>
      <c r="L7" s="326">
        <v>5</v>
      </c>
      <c r="M7" s="327">
        <v>6</v>
      </c>
      <c r="N7" s="327">
        <v>7</v>
      </c>
      <c r="O7" s="327"/>
      <c r="P7" s="327"/>
      <c r="Q7" s="327"/>
      <c r="R7" s="330"/>
      <c r="S7" s="326">
        <v>8</v>
      </c>
      <c r="T7" s="327">
        <v>9</v>
      </c>
      <c r="U7" s="327">
        <v>10</v>
      </c>
      <c r="V7" s="327"/>
      <c r="W7" s="327"/>
      <c r="X7" s="327"/>
      <c r="Y7" s="327"/>
      <c r="Z7" s="327"/>
      <c r="AA7" s="330"/>
      <c r="AB7" s="326">
        <v>11</v>
      </c>
      <c r="AC7" s="327">
        <v>12</v>
      </c>
      <c r="AD7" s="327">
        <v>13</v>
      </c>
      <c r="AE7" s="327"/>
      <c r="AF7" s="327"/>
      <c r="AG7" s="327"/>
      <c r="AH7" s="327"/>
      <c r="AI7" s="327"/>
      <c r="AJ7" s="327"/>
      <c r="AK7" s="327"/>
      <c r="AL7" s="330"/>
      <c r="AM7" s="326">
        <v>14</v>
      </c>
      <c r="AN7" s="327">
        <v>15</v>
      </c>
      <c r="AO7" s="327">
        <v>16</v>
      </c>
      <c r="AP7" s="110"/>
      <c r="AQ7" s="110"/>
      <c r="AR7" s="110"/>
      <c r="AS7" s="110"/>
      <c r="AT7" s="110"/>
      <c r="AU7" s="110"/>
      <c r="AV7" s="110"/>
      <c r="AW7" s="123"/>
    </row>
    <row r="8" spans="1:49" ht="12.75" customHeight="1" x14ac:dyDescent="0.2">
      <c r="A8" s="589" t="s">
        <v>57</v>
      </c>
      <c r="B8" s="590"/>
      <c r="C8" s="218"/>
      <c r="D8" s="58"/>
      <c r="E8" s="58"/>
      <c r="F8" s="58"/>
      <c r="G8" s="58"/>
      <c r="H8" s="58"/>
      <c r="I8" s="58"/>
      <c r="J8" s="58"/>
      <c r="K8" s="343"/>
      <c r="L8" s="226"/>
      <c r="M8" s="58"/>
      <c r="N8" s="58"/>
      <c r="O8" s="58"/>
      <c r="P8" s="58"/>
      <c r="Q8" s="58"/>
      <c r="R8" s="343"/>
      <c r="S8" s="226"/>
      <c r="T8" s="59"/>
      <c r="U8" s="59"/>
      <c r="V8" s="59"/>
      <c r="W8" s="59"/>
      <c r="X8" s="59"/>
      <c r="Y8" s="59"/>
      <c r="Z8" s="59"/>
      <c r="AA8" s="165"/>
      <c r="AB8" s="226"/>
      <c r="AC8" s="59"/>
      <c r="AD8" s="59"/>
      <c r="AE8" s="59"/>
      <c r="AF8" s="59"/>
      <c r="AG8" s="59"/>
      <c r="AH8" s="59"/>
      <c r="AI8" s="59"/>
      <c r="AJ8" s="59"/>
      <c r="AK8" s="59"/>
      <c r="AL8" s="165"/>
      <c r="AM8" s="231"/>
      <c r="AN8" s="111"/>
      <c r="AO8" s="111"/>
      <c r="AP8" s="110"/>
      <c r="AQ8" s="110"/>
      <c r="AR8" s="110"/>
      <c r="AS8" s="110"/>
      <c r="AT8" s="110"/>
      <c r="AU8" s="110"/>
      <c r="AV8" s="110"/>
      <c r="AW8" s="123"/>
    </row>
    <row r="9" spans="1:49" ht="12.75" customHeight="1" x14ac:dyDescent="0.2">
      <c r="A9" s="56" t="s">
        <v>2</v>
      </c>
      <c r="B9" s="66" t="s">
        <v>3</v>
      </c>
      <c r="C9" s="219">
        <v>86838020</v>
      </c>
      <c r="D9" s="62"/>
      <c r="E9" s="62">
        <f>SUM(C9:D9)</f>
        <v>86838020</v>
      </c>
      <c r="F9" s="106">
        <f>-11+67-379</f>
        <v>-323</v>
      </c>
      <c r="G9" s="106">
        <v>86515</v>
      </c>
      <c r="H9" s="106">
        <v>-379</v>
      </c>
      <c r="I9" s="106">
        <f>SUM(G9:H9)</f>
        <v>86136</v>
      </c>
      <c r="J9" s="106">
        <v>2157</v>
      </c>
      <c r="K9" s="166">
        <f>SUM(I9:J9)</f>
        <v>88293</v>
      </c>
      <c r="L9" s="219">
        <v>2990600</v>
      </c>
      <c r="M9" s="62"/>
      <c r="N9" s="62">
        <f>SUM(L9:M9)</f>
        <v>2990600</v>
      </c>
      <c r="O9" s="106">
        <v>-25</v>
      </c>
      <c r="P9" s="106">
        <v>2966</v>
      </c>
      <c r="Q9" s="106">
        <v>-395</v>
      </c>
      <c r="R9" s="166">
        <f>SUM(P9:Q9)</f>
        <v>2571</v>
      </c>
      <c r="S9" s="219">
        <v>80500</v>
      </c>
      <c r="T9" s="62"/>
      <c r="U9" s="62">
        <f>SUM(S9:T9)</f>
        <v>80500</v>
      </c>
      <c r="V9" s="106">
        <f>25+11</f>
        <v>36</v>
      </c>
      <c r="W9" s="106">
        <v>117</v>
      </c>
      <c r="X9" s="106"/>
      <c r="Y9" s="106">
        <f>SUM(W9:X9)</f>
        <v>117</v>
      </c>
      <c r="Z9" s="106">
        <v>50</v>
      </c>
      <c r="AA9" s="166">
        <f>SUM(Y9:Z9)</f>
        <v>167</v>
      </c>
      <c r="AB9" s="219">
        <v>18440498</v>
      </c>
      <c r="AC9" s="62">
        <v>170000</v>
      </c>
      <c r="AD9" s="62">
        <f>SUM(AB9:AC9)</f>
        <v>18610498</v>
      </c>
      <c r="AE9" s="106">
        <v>379</v>
      </c>
      <c r="AF9" s="106">
        <v>18989</v>
      </c>
      <c r="AG9" s="106">
        <v>413</v>
      </c>
      <c r="AH9" s="106">
        <f>SUM(AF9:AG9)</f>
        <v>19402</v>
      </c>
      <c r="AI9" s="106">
        <v>95</v>
      </c>
      <c r="AJ9" s="106">
        <f>SUM(AH9:AI9)</f>
        <v>19497</v>
      </c>
      <c r="AK9" s="106">
        <v>-977</v>
      </c>
      <c r="AL9" s="166">
        <f>SUM(AJ9:AK9)</f>
        <v>18520</v>
      </c>
      <c r="AM9" s="232">
        <f>C9+L9+S9+AB9</f>
        <v>108349618</v>
      </c>
      <c r="AN9" s="112">
        <f>D9+M9+T9+AC9</f>
        <v>170000</v>
      </c>
      <c r="AO9" s="112">
        <f>SUM(AM9:AN9)</f>
        <v>108519618</v>
      </c>
      <c r="AP9" s="113">
        <f>F9+O9+V9+AE9</f>
        <v>67</v>
      </c>
      <c r="AQ9" s="113">
        <v>108587</v>
      </c>
      <c r="AR9" s="113">
        <f>H9+X9+AG9</f>
        <v>34</v>
      </c>
      <c r="AS9" s="113">
        <f>SUM(AQ9:AR9)</f>
        <v>108621</v>
      </c>
      <c r="AT9" s="113">
        <f>AI9</f>
        <v>95</v>
      </c>
      <c r="AU9" s="113">
        <f>SUM(AS9:AT9)</f>
        <v>108716</v>
      </c>
      <c r="AV9" s="113">
        <f>J9+Q9+Z9+AK9</f>
        <v>835</v>
      </c>
      <c r="AW9" s="125">
        <f>SUM(AU9:AV9)</f>
        <v>109551</v>
      </c>
    </row>
    <row r="10" spans="1:49" ht="12.75" customHeight="1" x14ac:dyDescent="0.2">
      <c r="A10" s="56" t="s">
        <v>4</v>
      </c>
      <c r="B10" s="66" t="s">
        <v>39</v>
      </c>
      <c r="C10" s="219">
        <v>16863552</v>
      </c>
      <c r="D10" s="62"/>
      <c r="E10" s="62">
        <f t="shared" ref="E10:E38" si="0">SUM(C10:D10)</f>
        <v>16863552</v>
      </c>
      <c r="F10" s="106">
        <f>13-9</f>
        <v>4</v>
      </c>
      <c r="G10" s="106">
        <v>16868</v>
      </c>
      <c r="H10" s="106">
        <v>-10</v>
      </c>
      <c r="I10" s="106">
        <f t="shared" ref="I10:I39" si="1">SUM(G10:H10)</f>
        <v>16858</v>
      </c>
      <c r="J10" s="106">
        <v>617</v>
      </c>
      <c r="K10" s="166">
        <f t="shared" ref="K10:K39" si="2">SUM(I10:J10)</f>
        <v>17475</v>
      </c>
      <c r="L10" s="219">
        <v>583167</v>
      </c>
      <c r="M10" s="62"/>
      <c r="N10" s="62">
        <f t="shared" ref="N10:N38" si="3">SUM(L10:M10)</f>
        <v>583167</v>
      </c>
      <c r="O10" s="106"/>
      <c r="P10" s="106">
        <v>583</v>
      </c>
      <c r="Q10" s="106"/>
      <c r="R10" s="166">
        <f t="shared" ref="R10:R39" si="4">SUM(P10:Q10)</f>
        <v>583</v>
      </c>
      <c r="S10" s="219">
        <v>17930</v>
      </c>
      <c r="T10" s="62"/>
      <c r="U10" s="62">
        <f t="shared" ref="U10:U39" si="5">SUM(S10:T10)</f>
        <v>17930</v>
      </c>
      <c r="V10" s="106">
        <f>45+3</f>
        <v>48</v>
      </c>
      <c r="W10" s="106">
        <v>66</v>
      </c>
      <c r="X10" s="106">
        <v>4</v>
      </c>
      <c r="Y10" s="106">
        <f t="shared" ref="Y10:Y39" si="6">SUM(W10:X10)</f>
        <v>70</v>
      </c>
      <c r="Z10" s="106">
        <v>-1</v>
      </c>
      <c r="AA10" s="166">
        <f t="shared" ref="AA10:AA39" si="7">SUM(Y10:Z10)</f>
        <v>69</v>
      </c>
      <c r="AB10" s="219">
        <v>3593121</v>
      </c>
      <c r="AC10" s="62">
        <v>34000</v>
      </c>
      <c r="AD10" s="62">
        <f t="shared" ref="AD10:AD39" si="8">SUM(AB10:AC10)</f>
        <v>3627121</v>
      </c>
      <c r="AE10" s="106">
        <v>-39</v>
      </c>
      <c r="AF10" s="106">
        <v>3588</v>
      </c>
      <c r="AG10" s="106">
        <v>12</v>
      </c>
      <c r="AH10" s="106">
        <f t="shared" ref="AH10:AH39" si="9">SUM(AF10:AG10)</f>
        <v>3600</v>
      </c>
      <c r="AI10" s="106">
        <v>19</v>
      </c>
      <c r="AJ10" s="106">
        <f t="shared" ref="AJ10:AJ38" si="10">SUM(AH10:AI10)</f>
        <v>3619</v>
      </c>
      <c r="AK10" s="106">
        <v>11</v>
      </c>
      <c r="AL10" s="166">
        <f t="shared" ref="AL10:AL39" si="11">SUM(AJ10:AK10)</f>
        <v>3630</v>
      </c>
      <c r="AM10" s="232">
        <f t="shared" ref="AM10:AM37" si="12">C10+L10+S10+AB10</f>
        <v>21057770</v>
      </c>
      <c r="AN10" s="112">
        <f t="shared" ref="AN10:AN37" si="13">D10+M10+T10+AC10</f>
        <v>34000</v>
      </c>
      <c r="AO10" s="112">
        <f t="shared" ref="AO10:AO39" si="14">SUM(AM10:AN10)</f>
        <v>21091770</v>
      </c>
      <c r="AP10" s="113">
        <f t="shared" ref="AP10:AP22" si="15">F10+O10+V10+AE10</f>
        <v>13</v>
      </c>
      <c r="AQ10" s="113">
        <v>21105</v>
      </c>
      <c r="AR10" s="113">
        <f t="shared" ref="AR10:AR39" si="16">H10+X10+AG10</f>
        <v>6</v>
      </c>
      <c r="AS10" s="113">
        <f t="shared" ref="AS10:AS39" si="17">SUM(AQ10:AR10)</f>
        <v>21111</v>
      </c>
      <c r="AT10" s="113">
        <f t="shared" ref="AT10:AT39" si="18">AI10</f>
        <v>19</v>
      </c>
      <c r="AU10" s="113">
        <f t="shared" ref="AU10:AU39" si="19">SUM(AS10:AT10)</f>
        <v>21130</v>
      </c>
      <c r="AV10" s="113">
        <f t="shared" ref="AV10:AV39" si="20">J10+Q10+Z10+AK10</f>
        <v>627</v>
      </c>
      <c r="AW10" s="125">
        <f t="shared" ref="AW10:AW39" si="21">SUM(AU10:AV10)</f>
        <v>21757</v>
      </c>
    </row>
    <row r="11" spans="1:49" ht="12.75" customHeight="1" x14ac:dyDescent="0.2">
      <c r="A11" s="56" t="s">
        <v>5</v>
      </c>
      <c r="B11" s="66" t="s">
        <v>71</v>
      </c>
      <c r="C11" s="219">
        <v>982045</v>
      </c>
      <c r="D11" s="62"/>
      <c r="E11" s="62">
        <f t="shared" si="0"/>
        <v>982045</v>
      </c>
      <c r="F11" s="106">
        <v>25</v>
      </c>
      <c r="G11" s="106">
        <v>1007</v>
      </c>
      <c r="H11" s="106">
        <v>27</v>
      </c>
      <c r="I11" s="106">
        <f t="shared" si="1"/>
        <v>1034</v>
      </c>
      <c r="J11" s="106">
        <v>-233</v>
      </c>
      <c r="K11" s="166">
        <f t="shared" si="2"/>
        <v>801</v>
      </c>
      <c r="L11" s="219">
        <v>0</v>
      </c>
      <c r="M11" s="62"/>
      <c r="N11" s="62">
        <f t="shared" si="3"/>
        <v>0</v>
      </c>
      <c r="O11" s="106"/>
      <c r="P11" s="106"/>
      <c r="Q11" s="106"/>
      <c r="R11" s="166">
        <f t="shared" si="4"/>
        <v>0</v>
      </c>
      <c r="S11" s="219">
        <v>8610684</v>
      </c>
      <c r="T11" s="62">
        <v>465000</v>
      </c>
      <c r="U11" s="62">
        <f t="shared" si="5"/>
        <v>9075684</v>
      </c>
      <c r="V11" s="106">
        <f>-15+10-35-26</f>
        <v>-66</v>
      </c>
      <c r="W11" s="106">
        <v>9010</v>
      </c>
      <c r="X11" s="106">
        <v>780</v>
      </c>
      <c r="Y11" s="106">
        <f t="shared" si="6"/>
        <v>9790</v>
      </c>
      <c r="Z11" s="106">
        <v>514</v>
      </c>
      <c r="AA11" s="166">
        <f t="shared" si="7"/>
        <v>10304</v>
      </c>
      <c r="AB11" s="219">
        <v>1264459</v>
      </c>
      <c r="AC11" s="62"/>
      <c r="AD11" s="62">
        <f t="shared" si="8"/>
        <v>1264459</v>
      </c>
      <c r="AE11" s="106">
        <f>-10+15+35+1</f>
        <v>41</v>
      </c>
      <c r="AF11" s="106">
        <v>1305</v>
      </c>
      <c r="AG11" s="106">
        <v>452</v>
      </c>
      <c r="AH11" s="106">
        <f t="shared" si="9"/>
        <v>1757</v>
      </c>
      <c r="AI11" s="106"/>
      <c r="AJ11" s="106">
        <f t="shared" si="10"/>
        <v>1757</v>
      </c>
      <c r="AK11" s="106">
        <v>127</v>
      </c>
      <c r="AL11" s="166">
        <f t="shared" si="11"/>
        <v>1884</v>
      </c>
      <c r="AM11" s="232">
        <f t="shared" si="12"/>
        <v>10857188</v>
      </c>
      <c r="AN11" s="112">
        <f t="shared" si="13"/>
        <v>465000</v>
      </c>
      <c r="AO11" s="112">
        <f t="shared" si="14"/>
        <v>11322188</v>
      </c>
      <c r="AP11" s="113">
        <f t="shared" si="15"/>
        <v>0</v>
      </c>
      <c r="AQ11" s="113">
        <v>11322</v>
      </c>
      <c r="AR11" s="113">
        <f t="shared" si="16"/>
        <v>1259</v>
      </c>
      <c r="AS11" s="113">
        <f t="shared" si="17"/>
        <v>12581</v>
      </c>
      <c r="AT11" s="113">
        <f t="shared" si="18"/>
        <v>0</v>
      </c>
      <c r="AU11" s="113">
        <f t="shared" si="19"/>
        <v>12581</v>
      </c>
      <c r="AV11" s="113">
        <f t="shared" si="20"/>
        <v>408</v>
      </c>
      <c r="AW11" s="125">
        <f t="shared" si="21"/>
        <v>12989</v>
      </c>
    </row>
    <row r="12" spans="1:49" ht="12.75" customHeight="1" x14ac:dyDescent="0.2">
      <c r="A12" s="56" t="s">
        <v>6</v>
      </c>
      <c r="B12" s="66" t="s">
        <v>41</v>
      </c>
      <c r="C12" s="219">
        <v>0</v>
      </c>
      <c r="D12" s="62"/>
      <c r="E12" s="62">
        <f t="shared" si="0"/>
        <v>0</v>
      </c>
      <c r="F12" s="106"/>
      <c r="G12" s="106"/>
      <c r="H12" s="106"/>
      <c r="I12" s="106">
        <f t="shared" si="1"/>
        <v>0</v>
      </c>
      <c r="J12" s="106"/>
      <c r="K12" s="166">
        <f t="shared" si="2"/>
        <v>0</v>
      </c>
      <c r="L12" s="219">
        <v>0</v>
      </c>
      <c r="M12" s="62"/>
      <c r="N12" s="62">
        <f t="shared" si="3"/>
        <v>0</v>
      </c>
      <c r="O12" s="106"/>
      <c r="P12" s="106"/>
      <c r="Q12" s="106"/>
      <c r="R12" s="166">
        <f t="shared" si="4"/>
        <v>0</v>
      </c>
      <c r="S12" s="219">
        <v>0</v>
      </c>
      <c r="T12" s="62"/>
      <c r="U12" s="62">
        <f t="shared" si="5"/>
        <v>0</v>
      </c>
      <c r="V12" s="106"/>
      <c r="W12" s="106"/>
      <c r="X12" s="106"/>
      <c r="Y12" s="106">
        <f t="shared" si="6"/>
        <v>0</v>
      </c>
      <c r="Z12" s="106"/>
      <c r="AA12" s="166">
        <f t="shared" si="7"/>
        <v>0</v>
      </c>
      <c r="AB12" s="219">
        <v>0</v>
      </c>
      <c r="AC12" s="62"/>
      <c r="AD12" s="62">
        <f t="shared" si="8"/>
        <v>0</v>
      </c>
      <c r="AE12" s="106"/>
      <c r="AF12" s="106"/>
      <c r="AG12" s="106"/>
      <c r="AH12" s="106">
        <f t="shared" si="9"/>
        <v>0</v>
      </c>
      <c r="AI12" s="106"/>
      <c r="AJ12" s="106">
        <f t="shared" si="10"/>
        <v>0</v>
      </c>
      <c r="AK12" s="106"/>
      <c r="AL12" s="166">
        <f t="shared" si="11"/>
        <v>0</v>
      </c>
      <c r="AM12" s="232">
        <f t="shared" si="12"/>
        <v>0</v>
      </c>
      <c r="AN12" s="112">
        <f t="shared" si="13"/>
        <v>0</v>
      </c>
      <c r="AO12" s="112">
        <f t="shared" si="14"/>
        <v>0</v>
      </c>
      <c r="AP12" s="113">
        <f t="shared" si="15"/>
        <v>0</v>
      </c>
      <c r="AQ12" s="113">
        <f t="shared" ref="AQ12:AQ38" si="22">SUM(AO12:AP12)</f>
        <v>0</v>
      </c>
      <c r="AR12" s="113">
        <f t="shared" si="16"/>
        <v>0</v>
      </c>
      <c r="AS12" s="113">
        <f t="shared" si="17"/>
        <v>0</v>
      </c>
      <c r="AT12" s="113">
        <f t="shared" si="18"/>
        <v>0</v>
      </c>
      <c r="AU12" s="113">
        <f t="shared" si="19"/>
        <v>0</v>
      </c>
      <c r="AV12" s="113">
        <f t="shared" si="20"/>
        <v>0</v>
      </c>
      <c r="AW12" s="125">
        <f t="shared" si="21"/>
        <v>0</v>
      </c>
    </row>
    <row r="13" spans="1:49" ht="12.75" customHeight="1" x14ac:dyDescent="0.2">
      <c r="A13" s="56" t="s">
        <v>7</v>
      </c>
      <c r="B13" s="66" t="s">
        <v>42</v>
      </c>
      <c r="C13" s="219">
        <v>0</v>
      </c>
      <c r="D13" s="62"/>
      <c r="E13" s="62">
        <f t="shared" si="0"/>
        <v>0</v>
      </c>
      <c r="F13" s="106"/>
      <c r="G13" s="106"/>
      <c r="H13" s="106"/>
      <c r="I13" s="106">
        <f t="shared" si="1"/>
        <v>0</v>
      </c>
      <c r="J13" s="106"/>
      <c r="K13" s="166">
        <f t="shared" si="2"/>
        <v>0</v>
      </c>
      <c r="L13" s="219">
        <v>0</v>
      </c>
      <c r="M13" s="62"/>
      <c r="N13" s="62">
        <f t="shared" si="3"/>
        <v>0</v>
      </c>
      <c r="O13" s="106"/>
      <c r="P13" s="106"/>
      <c r="Q13" s="106"/>
      <c r="R13" s="166">
        <f t="shared" si="4"/>
        <v>0</v>
      </c>
      <c r="S13" s="219">
        <v>0</v>
      </c>
      <c r="T13" s="62"/>
      <c r="U13" s="62">
        <f t="shared" si="5"/>
        <v>0</v>
      </c>
      <c r="V13" s="106"/>
      <c r="W13" s="106"/>
      <c r="X13" s="106"/>
      <c r="Y13" s="106">
        <f t="shared" si="6"/>
        <v>0</v>
      </c>
      <c r="Z13" s="106"/>
      <c r="AA13" s="166">
        <f t="shared" si="7"/>
        <v>0</v>
      </c>
      <c r="AB13" s="219">
        <v>0</v>
      </c>
      <c r="AC13" s="62"/>
      <c r="AD13" s="62">
        <f t="shared" si="8"/>
        <v>0</v>
      </c>
      <c r="AE13" s="106"/>
      <c r="AF13" s="106"/>
      <c r="AG13" s="106"/>
      <c r="AH13" s="106">
        <f t="shared" si="9"/>
        <v>0</v>
      </c>
      <c r="AI13" s="106"/>
      <c r="AJ13" s="106">
        <f t="shared" si="10"/>
        <v>0</v>
      </c>
      <c r="AK13" s="106"/>
      <c r="AL13" s="166">
        <f t="shared" si="11"/>
        <v>0</v>
      </c>
      <c r="AM13" s="232">
        <f t="shared" si="12"/>
        <v>0</v>
      </c>
      <c r="AN13" s="112">
        <f t="shared" si="13"/>
        <v>0</v>
      </c>
      <c r="AO13" s="112">
        <f t="shared" si="14"/>
        <v>0</v>
      </c>
      <c r="AP13" s="113">
        <f t="shared" si="15"/>
        <v>0</v>
      </c>
      <c r="AQ13" s="113">
        <f t="shared" si="22"/>
        <v>0</v>
      </c>
      <c r="AR13" s="113">
        <f t="shared" si="16"/>
        <v>0</v>
      </c>
      <c r="AS13" s="113">
        <f t="shared" si="17"/>
        <v>0</v>
      </c>
      <c r="AT13" s="113">
        <f t="shared" si="18"/>
        <v>0</v>
      </c>
      <c r="AU13" s="113">
        <f t="shared" si="19"/>
        <v>0</v>
      </c>
      <c r="AV13" s="113">
        <f t="shared" si="20"/>
        <v>0</v>
      </c>
      <c r="AW13" s="125">
        <f t="shared" si="21"/>
        <v>0</v>
      </c>
    </row>
    <row r="14" spans="1:49" ht="12.75" customHeight="1" x14ac:dyDescent="0.2">
      <c r="A14" s="56" t="s">
        <v>8</v>
      </c>
      <c r="B14" s="79" t="s">
        <v>72</v>
      </c>
      <c r="C14" s="219"/>
      <c r="D14" s="62"/>
      <c r="E14" s="62">
        <f t="shared" si="0"/>
        <v>0</v>
      </c>
      <c r="F14" s="106"/>
      <c r="G14" s="106"/>
      <c r="H14" s="106"/>
      <c r="I14" s="106">
        <f t="shared" si="1"/>
        <v>0</v>
      </c>
      <c r="J14" s="106"/>
      <c r="K14" s="166">
        <f t="shared" si="2"/>
        <v>0</v>
      </c>
      <c r="L14" s="219"/>
      <c r="M14" s="62"/>
      <c r="N14" s="62">
        <f t="shared" si="3"/>
        <v>0</v>
      </c>
      <c r="O14" s="106"/>
      <c r="P14" s="106"/>
      <c r="Q14" s="106"/>
      <c r="R14" s="166">
        <f t="shared" si="4"/>
        <v>0</v>
      </c>
      <c r="S14" s="219"/>
      <c r="T14" s="62"/>
      <c r="U14" s="62">
        <f t="shared" si="5"/>
        <v>0</v>
      </c>
      <c r="V14" s="106"/>
      <c r="W14" s="106"/>
      <c r="X14" s="106"/>
      <c r="Y14" s="106">
        <f t="shared" si="6"/>
        <v>0</v>
      </c>
      <c r="Z14" s="106"/>
      <c r="AA14" s="166">
        <f t="shared" si="7"/>
        <v>0</v>
      </c>
      <c r="AB14" s="219"/>
      <c r="AC14" s="62"/>
      <c r="AD14" s="62">
        <f t="shared" si="8"/>
        <v>0</v>
      </c>
      <c r="AE14" s="106"/>
      <c r="AF14" s="106"/>
      <c r="AG14" s="106"/>
      <c r="AH14" s="106">
        <f t="shared" si="9"/>
        <v>0</v>
      </c>
      <c r="AI14" s="106"/>
      <c r="AJ14" s="106">
        <f t="shared" si="10"/>
        <v>0</v>
      </c>
      <c r="AK14" s="106"/>
      <c r="AL14" s="166">
        <f t="shared" si="11"/>
        <v>0</v>
      </c>
      <c r="AM14" s="232">
        <f t="shared" si="12"/>
        <v>0</v>
      </c>
      <c r="AN14" s="112">
        <f t="shared" si="13"/>
        <v>0</v>
      </c>
      <c r="AO14" s="112">
        <f t="shared" si="14"/>
        <v>0</v>
      </c>
      <c r="AP14" s="113">
        <f t="shared" si="15"/>
        <v>0</v>
      </c>
      <c r="AQ14" s="113">
        <f t="shared" si="22"/>
        <v>0</v>
      </c>
      <c r="AR14" s="113">
        <f t="shared" si="16"/>
        <v>0</v>
      </c>
      <c r="AS14" s="113">
        <f t="shared" si="17"/>
        <v>0</v>
      </c>
      <c r="AT14" s="113">
        <f t="shared" si="18"/>
        <v>0</v>
      </c>
      <c r="AU14" s="113">
        <f t="shared" si="19"/>
        <v>0</v>
      </c>
      <c r="AV14" s="113">
        <f t="shared" si="20"/>
        <v>0</v>
      </c>
      <c r="AW14" s="125">
        <f t="shared" si="21"/>
        <v>0</v>
      </c>
    </row>
    <row r="15" spans="1:49" s="7" customFormat="1" ht="12.75" customHeight="1" x14ac:dyDescent="0.2">
      <c r="A15" s="55" t="s">
        <v>9</v>
      </c>
      <c r="B15" s="206" t="s">
        <v>43</v>
      </c>
      <c r="C15" s="220">
        <f>C9+C10+C11+C12+C13</f>
        <v>104683617</v>
      </c>
      <c r="D15" s="63"/>
      <c r="E15" s="62">
        <f t="shared" si="0"/>
        <v>104683617</v>
      </c>
      <c r="F15" s="106">
        <f>SUM(F9:F14)</f>
        <v>-294</v>
      </c>
      <c r="G15" s="106">
        <f>SUM(G9:G14)</f>
        <v>104390</v>
      </c>
      <c r="H15" s="106">
        <f>SUM(H9:H14)</f>
        <v>-362</v>
      </c>
      <c r="I15" s="106">
        <f t="shared" si="1"/>
        <v>104028</v>
      </c>
      <c r="J15" s="106">
        <f>SUM(J9:J14)</f>
        <v>2541</v>
      </c>
      <c r="K15" s="166">
        <f t="shared" si="2"/>
        <v>106569</v>
      </c>
      <c r="L15" s="220">
        <f>L9+L10+L11+L12+L13</f>
        <v>3573767</v>
      </c>
      <c r="M15" s="63"/>
      <c r="N15" s="62">
        <f t="shared" si="3"/>
        <v>3573767</v>
      </c>
      <c r="O15" s="106">
        <v>-25</v>
      </c>
      <c r="P15" s="106">
        <f>SUM(P9:P14)</f>
        <v>3549</v>
      </c>
      <c r="Q15" s="106">
        <f>SUM(Q9:Q14)</f>
        <v>-395</v>
      </c>
      <c r="R15" s="166">
        <f t="shared" si="4"/>
        <v>3154</v>
      </c>
      <c r="S15" s="227">
        <v>8710</v>
      </c>
      <c r="T15" s="63">
        <f>SUM(T11)</f>
        <v>465000</v>
      </c>
      <c r="U15" s="106">
        <v>9175</v>
      </c>
      <c r="V15" s="106">
        <f>SUM(V9:V11)</f>
        <v>18</v>
      </c>
      <c r="W15" s="106">
        <f>SUM(W9:W14)</f>
        <v>9193</v>
      </c>
      <c r="X15" s="106">
        <f>SUM(X9:X14)</f>
        <v>784</v>
      </c>
      <c r="Y15" s="106">
        <f t="shared" si="6"/>
        <v>9977</v>
      </c>
      <c r="Z15" s="106">
        <f>SUM(Z9:Z14)</f>
        <v>563</v>
      </c>
      <c r="AA15" s="166">
        <f t="shared" si="7"/>
        <v>10540</v>
      </c>
      <c r="AB15" s="227">
        <v>23297</v>
      </c>
      <c r="AC15" s="63">
        <f>SUM(AC9:AC14)</f>
        <v>204000</v>
      </c>
      <c r="AD15" s="106">
        <v>23501</v>
      </c>
      <c r="AE15" s="106">
        <f>SUM(AE9:AE14)</f>
        <v>381</v>
      </c>
      <c r="AF15" s="106">
        <f>SUM(AF9:AF14)</f>
        <v>23882</v>
      </c>
      <c r="AG15" s="106">
        <f>SUM(AG9:AG14)</f>
        <v>877</v>
      </c>
      <c r="AH15" s="106">
        <f t="shared" si="9"/>
        <v>24759</v>
      </c>
      <c r="AI15" s="106">
        <f>SUM(AI9:AI14)</f>
        <v>114</v>
      </c>
      <c r="AJ15" s="106">
        <f t="shared" si="10"/>
        <v>24873</v>
      </c>
      <c r="AK15" s="106">
        <f>SUM(AK9:AK14)</f>
        <v>-839</v>
      </c>
      <c r="AL15" s="166">
        <f t="shared" si="11"/>
        <v>24034</v>
      </c>
      <c r="AM15" s="233">
        <v>140264</v>
      </c>
      <c r="AN15" s="112">
        <f t="shared" si="13"/>
        <v>669000</v>
      </c>
      <c r="AO15" s="114">
        <v>140933</v>
      </c>
      <c r="AP15" s="113">
        <f t="shared" si="15"/>
        <v>80</v>
      </c>
      <c r="AQ15" s="113">
        <f>SUM(AQ9:AQ14)</f>
        <v>141014</v>
      </c>
      <c r="AR15" s="113">
        <f t="shared" si="16"/>
        <v>1299</v>
      </c>
      <c r="AS15" s="113">
        <f t="shared" si="17"/>
        <v>142313</v>
      </c>
      <c r="AT15" s="113">
        <f t="shared" si="18"/>
        <v>114</v>
      </c>
      <c r="AU15" s="113">
        <f t="shared" si="19"/>
        <v>142427</v>
      </c>
      <c r="AV15" s="113">
        <f t="shared" si="20"/>
        <v>1870</v>
      </c>
      <c r="AW15" s="125">
        <f t="shared" si="21"/>
        <v>144297</v>
      </c>
    </row>
    <row r="16" spans="1:49" ht="12.75" customHeight="1" x14ac:dyDescent="0.2">
      <c r="A16" s="56" t="s">
        <v>10</v>
      </c>
      <c r="B16" s="66" t="s">
        <v>44</v>
      </c>
      <c r="C16" s="219">
        <v>0</v>
      </c>
      <c r="D16" s="62"/>
      <c r="E16" s="62">
        <f t="shared" si="0"/>
        <v>0</v>
      </c>
      <c r="F16" s="106"/>
      <c r="G16" s="106"/>
      <c r="H16" s="106"/>
      <c r="I16" s="106">
        <f t="shared" si="1"/>
        <v>0</v>
      </c>
      <c r="J16" s="106"/>
      <c r="K16" s="166">
        <f t="shared" si="2"/>
        <v>0</v>
      </c>
      <c r="L16" s="219">
        <v>0</v>
      </c>
      <c r="M16" s="62"/>
      <c r="N16" s="62">
        <f t="shared" si="3"/>
        <v>0</v>
      </c>
      <c r="O16" s="106"/>
      <c r="P16" s="106"/>
      <c r="Q16" s="106"/>
      <c r="R16" s="166">
        <f t="shared" si="4"/>
        <v>0</v>
      </c>
      <c r="S16" s="219">
        <v>3000000</v>
      </c>
      <c r="T16" s="62"/>
      <c r="U16" s="62">
        <f t="shared" si="5"/>
        <v>3000000</v>
      </c>
      <c r="V16" s="106">
        <v>-85</v>
      </c>
      <c r="W16" s="106">
        <v>2915</v>
      </c>
      <c r="X16" s="106">
        <v>-1000</v>
      </c>
      <c r="Y16" s="106">
        <f t="shared" si="6"/>
        <v>1915</v>
      </c>
      <c r="Z16" s="106"/>
      <c r="AA16" s="166">
        <f t="shared" si="7"/>
        <v>1915</v>
      </c>
      <c r="AB16" s="219">
        <v>0</v>
      </c>
      <c r="AC16" s="62"/>
      <c r="AD16" s="106">
        <f t="shared" si="8"/>
        <v>0</v>
      </c>
      <c r="AE16" s="106">
        <v>85</v>
      </c>
      <c r="AF16" s="106">
        <v>85</v>
      </c>
      <c r="AG16" s="106"/>
      <c r="AH16" s="106">
        <f t="shared" si="9"/>
        <v>85</v>
      </c>
      <c r="AI16" s="106"/>
      <c r="AJ16" s="106">
        <f t="shared" si="10"/>
        <v>85</v>
      </c>
      <c r="AK16" s="106"/>
      <c r="AL16" s="166">
        <f t="shared" si="11"/>
        <v>85</v>
      </c>
      <c r="AM16" s="232">
        <f t="shared" si="12"/>
        <v>3000000</v>
      </c>
      <c r="AN16" s="112">
        <f t="shared" si="13"/>
        <v>0</v>
      </c>
      <c r="AO16" s="112">
        <f t="shared" si="14"/>
        <v>3000000</v>
      </c>
      <c r="AP16" s="113">
        <f t="shared" si="15"/>
        <v>0</v>
      </c>
      <c r="AQ16" s="113">
        <v>3000</v>
      </c>
      <c r="AR16" s="113">
        <f t="shared" si="16"/>
        <v>-1000</v>
      </c>
      <c r="AS16" s="113">
        <f t="shared" si="17"/>
        <v>2000</v>
      </c>
      <c r="AT16" s="113">
        <f t="shared" si="18"/>
        <v>0</v>
      </c>
      <c r="AU16" s="113">
        <f t="shared" si="19"/>
        <v>2000</v>
      </c>
      <c r="AV16" s="113">
        <f t="shared" si="20"/>
        <v>0</v>
      </c>
      <c r="AW16" s="125">
        <f t="shared" si="21"/>
        <v>2000</v>
      </c>
    </row>
    <row r="17" spans="1:49" ht="12.75" customHeight="1" x14ac:dyDescent="0.2">
      <c r="A17" s="56" t="s">
        <v>11</v>
      </c>
      <c r="B17" s="66" t="s">
        <v>45</v>
      </c>
      <c r="C17" s="219">
        <v>0</v>
      </c>
      <c r="D17" s="62"/>
      <c r="E17" s="62">
        <f t="shared" si="0"/>
        <v>0</v>
      </c>
      <c r="F17" s="106"/>
      <c r="G17" s="106"/>
      <c r="H17" s="106"/>
      <c r="I17" s="106">
        <f t="shared" si="1"/>
        <v>0</v>
      </c>
      <c r="J17" s="106"/>
      <c r="K17" s="166">
        <f t="shared" si="2"/>
        <v>0</v>
      </c>
      <c r="L17" s="219">
        <v>0</v>
      </c>
      <c r="M17" s="62"/>
      <c r="N17" s="62">
        <f t="shared" si="3"/>
        <v>0</v>
      </c>
      <c r="O17" s="106"/>
      <c r="P17" s="106"/>
      <c r="Q17" s="106"/>
      <c r="R17" s="166">
        <f t="shared" si="4"/>
        <v>0</v>
      </c>
      <c r="S17" s="219">
        <v>0</v>
      </c>
      <c r="T17" s="62"/>
      <c r="U17" s="62">
        <f t="shared" si="5"/>
        <v>0</v>
      </c>
      <c r="V17" s="106"/>
      <c r="W17" s="106"/>
      <c r="X17" s="106"/>
      <c r="Y17" s="106">
        <f t="shared" si="6"/>
        <v>0</v>
      </c>
      <c r="Z17" s="106"/>
      <c r="AA17" s="166">
        <f t="shared" si="7"/>
        <v>0</v>
      </c>
      <c r="AB17" s="219">
        <v>0</v>
      </c>
      <c r="AC17" s="62"/>
      <c r="AD17" s="106">
        <f t="shared" si="8"/>
        <v>0</v>
      </c>
      <c r="AE17" s="106"/>
      <c r="AF17" s="106"/>
      <c r="AG17" s="106"/>
      <c r="AH17" s="106">
        <f t="shared" si="9"/>
        <v>0</v>
      </c>
      <c r="AI17" s="106"/>
      <c r="AJ17" s="106">
        <f t="shared" si="10"/>
        <v>0</v>
      </c>
      <c r="AK17" s="106"/>
      <c r="AL17" s="166">
        <f t="shared" si="11"/>
        <v>0</v>
      </c>
      <c r="AM17" s="232">
        <f t="shared" si="12"/>
        <v>0</v>
      </c>
      <c r="AN17" s="112">
        <f t="shared" si="13"/>
        <v>0</v>
      </c>
      <c r="AO17" s="112">
        <f t="shared" si="14"/>
        <v>0</v>
      </c>
      <c r="AP17" s="113">
        <f t="shared" si="15"/>
        <v>0</v>
      </c>
      <c r="AQ17" s="113">
        <f t="shared" si="22"/>
        <v>0</v>
      </c>
      <c r="AR17" s="113">
        <f t="shared" si="16"/>
        <v>0</v>
      </c>
      <c r="AS17" s="113">
        <f t="shared" si="17"/>
        <v>0</v>
      </c>
      <c r="AT17" s="113">
        <f t="shared" si="18"/>
        <v>0</v>
      </c>
      <c r="AU17" s="113">
        <f t="shared" si="19"/>
        <v>0</v>
      </c>
      <c r="AV17" s="113">
        <f t="shared" si="20"/>
        <v>0</v>
      </c>
      <c r="AW17" s="125">
        <f t="shared" si="21"/>
        <v>0</v>
      </c>
    </row>
    <row r="18" spans="1:49" ht="12.75" customHeight="1" x14ac:dyDescent="0.2">
      <c r="A18" s="56" t="s">
        <v>12</v>
      </c>
      <c r="B18" s="66" t="s">
        <v>46</v>
      </c>
      <c r="C18" s="219">
        <v>0</v>
      </c>
      <c r="D18" s="62"/>
      <c r="E18" s="62">
        <f t="shared" si="0"/>
        <v>0</v>
      </c>
      <c r="F18" s="106"/>
      <c r="G18" s="106"/>
      <c r="H18" s="106"/>
      <c r="I18" s="106">
        <f t="shared" si="1"/>
        <v>0</v>
      </c>
      <c r="J18" s="106"/>
      <c r="K18" s="166">
        <f t="shared" si="2"/>
        <v>0</v>
      </c>
      <c r="L18" s="219">
        <v>0</v>
      </c>
      <c r="M18" s="62"/>
      <c r="N18" s="62">
        <f t="shared" si="3"/>
        <v>0</v>
      </c>
      <c r="O18" s="106"/>
      <c r="P18" s="106"/>
      <c r="Q18" s="106"/>
      <c r="R18" s="166">
        <f t="shared" si="4"/>
        <v>0</v>
      </c>
      <c r="S18" s="219">
        <v>0</v>
      </c>
      <c r="T18" s="62"/>
      <c r="U18" s="62">
        <f t="shared" si="5"/>
        <v>0</v>
      </c>
      <c r="V18" s="106"/>
      <c r="W18" s="106"/>
      <c r="X18" s="106"/>
      <c r="Y18" s="106">
        <f t="shared" si="6"/>
        <v>0</v>
      </c>
      <c r="Z18" s="106"/>
      <c r="AA18" s="166">
        <f t="shared" si="7"/>
        <v>0</v>
      </c>
      <c r="AB18" s="219">
        <v>0</v>
      </c>
      <c r="AC18" s="62"/>
      <c r="AD18" s="106">
        <f t="shared" si="8"/>
        <v>0</v>
      </c>
      <c r="AE18" s="106"/>
      <c r="AF18" s="106"/>
      <c r="AG18" s="106"/>
      <c r="AH18" s="106">
        <f t="shared" si="9"/>
        <v>0</v>
      </c>
      <c r="AI18" s="106"/>
      <c r="AJ18" s="106">
        <f t="shared" si="10"/>
        <v>0</v>
      </c>
      <c r="AK18" s="106"/>
      <c r="AL18" s="166">
        <f t="shared" si="11"/>
        <v>0</v>
      </c>
      <c r="AM18" s="232">
        <f t="shared" si="12"/>
        <v>0</v>
      </c>
      <c r="AN18" s="112">
        <f t="shared" si="13"/>
        <v>0</v>
      </c>
      <c r="AO18" s="112">
        <f t="shared" si="14"/>
        <v>0</v>
      </c>
      <c r="AP18" s="113">
        <f t="shared" si="15"/>
        <v>0</v>
      </c>
      <c r="AQ18" s="113">
        <f t="shared" si="22"/>
        <v>0</v>
      </c>
      <c r="AR18" s="113">
        <f t="shared" si="16"/>
        <v>0</v>
      </c>
      <c r="AS18" s="113">
        <f t="shared" si="17"/>
        <v>0</v>
      </c>
      <c r="AT18" s="113">
        <f t="shared" si="18"/>
        <v>0</v>
      </c>
      <c r="AU18" s="113">
        <f t="shared" si="19"/>
        <v>0</v>
      </c>
      <c r="AV18" s="113">
        <f t="shared" si="20"/>
        <v>0</v>
      </c>
      <c r="AW18" s="125">
        <f t="shared" si="21"/>
        <v>0</v>
      </c>
    </row>
    <row r="19" spans="1:49" s="7" customFormat="1" ht="12.75" customHeight="1" x14ac:dyDescent="0.2">
      <c r="A19" s="55" t="s">
        <v>13</v>
      </c>
      <c r="B19" s="206" t="s">
        <v>47</v>
      </c>
      <c r="C19" s="220">
        <f>C16+C17+C18</f>
        <v>0</v>
      </c>
      <c r="D19" s="63"/>
      <c r="E19" s="62">
        <f t="shared" si="0"/>
        <v>0</v>
      </c>
      <c r="F19" s="106"/>
      <c r="G19" s="106"/>
      <c r="H19" s="106"/>
      <c r="I19" s="106">
        <f t="shared" si="1"/>
        <v>0</v>
      </c>
      <c r="J19" s="106"/>
      <c r="K19" s="166">
        <f t="shared" si="2"/>
        <v>0</v>
      </c>
      <c r="L19" s="220">
        <f>L16+L17+L18</f>
        <v>0</v>
      </c>
      <c r="M19" s="63"/>
      <c r="N19" s="62">
        <f t="shared" si="3"/>
        <v>0</v>
      </c>
      <c r="O19" s="106"/>
      <c r="P19" s="106"/>
      <c r="Q19" s="106"/>
      <c r="R19" s="166">
        <f t="shared" si="4"/>
        <v>0</v>
      </c>
      <c r="S19" s="220">
        <f>S16+S17+S18</f>
        <v>3000000</v>
      </c>
      <c r="T19" s="63"/>
      <c r="U19" s="62">
        <f t="shared" si="5"/>
        <v>3000000</v>
      </c>
      <c r="V19" s="106">
        <v>-85</v>
      </c>
      <c r="W19" s="106">
        <v>2915</v>
      </c>
      <c r="X19" s="106">
        <f>SUM(X16)</f>
        <v>-1000</v>
      </c>
      <c r="Y19" s="106">
        <f t="shared" si="6"/>
        <v>1915</v>
      </c>
      <c r="Z19" s="106"/>
      <c r="AA19" s="166">
        <f t="shared" si="7"/>
        <v>1915</v>
      </c>
      <c r="AB19" s="220">
        <f>AB16+AB17+AB18</f>
        <v>0</v>
      </c>
      <c r="AC19" s="63"/>
      <c r="AD19" s="106">
        <f t="shared" si="8"/>
        <v>0</v>
      </c>
      <c r="AE19" s="106">
        <v>85</v>
      </c>
      <c r="AF19" s="106">
        <v>85</v>
      </c>
      <c r="AG19" s="106"/>
      <c r="AH19" s="106">
        <f t="shared" si="9"/>
        <v>85</v>
      </c>
      <c r="AI19" s="106"/>
      <c r="AJ19" s="106">
        <f t="shared" si="10"/>
        <v>85</v>
      </c>
      <c r="AK19" s="106"/>
      <c r="AL19" s="166">
        <f t="shared" si="11"/>
        <v>85</v>
      </c>
      <c r="AM19" s="234">
        <f t="shared" si="12"/>
        <v>3000000</v>
      </c>
      <c r="AN19" s="112">
        <f t="shared" si="13"/>
        <v>0</v>
      </c>
      <c r="AO19" s="112">
        <f t="shared" si="14"/>
        <v>3000000</v>
      </c>
      <c r="AP19" s="113">
        <f t="shared" si="15"/>
        <v>0</v>
      </c>
      <c r="AQ19" s="113">
        <v>3000</v>
      </c>
      <c r="AR19" s="113">
        <f t="shared" si="16"/>
        <v>-1000</v>
      </c>
      <c r="AS19" s="113">
        <f t="shared" si="17"/>
        <v>2000</v>
      </c>
      <c r="AT19" s="113">
        <f t="shared" si="18"/>
        <v>0</v>
      </c>
      <c r="AU19" s="113">
        <f t="shared" si="19"/>
        <v>2000</v>
      </c>
      <c r="AV19" s="113">
        <f t="shared" si="20"/>
        <v>0</v>
      </c>
      <c r="AW19" s="125">
        <f t="shared" si="21"/>
        <v>2000</v>
      </c>
    </row>
    <row r="20" spans="1:49" s="7" customFormat="1" ht="12.75" customHeight="1" x14ac:dyDescent="0.2">
      <c r="A20" s="55" t="s">
        <v>14</v>
      </c>
      <c r="B20" s="206" t="s">
        <v>73</v>
      </c>
      <c r="C20" s="220">
        <v>0</v>
      </c>
      <c r="D20" s="63"/>
      <c r="E20" s="62">
        <f t="shared" si="0"/>
        <v>0</v>
      </c>
      <c r="F20" s="106"/>
      <c r="G20" s="106"/>
      <c r="H20" s="106"/>
      <c r="I20" s="106">
        <f t="shared" si="1"/>
        <v>0</v>
      </c>
      <c r="J20" s="106"/>
      <c r="K20" s="166">
        <f t="shared" si="2"/>
        <v>0</v>
      </c>
      <c r="L20" s="220">
        <v>0</v>
      </c>
      <c r="M20" s="63"/>
      <c r="N20" s="62">
        <f t="shared" si="3"/>
        <v>0</v>
      </c>
      <c r="O20" s="106"/>
      <c r="P20" s="106"/>
      <c r="Q20" s="106"/>
      <c r="R20" s="166">
        <f t="shared" si="4"/>
        <v>0</v>
      </c>
      <c r="S20" s="220">
        <v>0</v>
      </c>
      <c r="T20" s="63"/>
      <c r="U20" s="62">
        <f t="shared" si="5"/>
        <v>0</v>
      </c>
      <c r="V20" s="106"/>
      <c r="W20" s="106"/>
      <c r="X20" s="106"/>
      <c r="Y20" s="106">
        <f t="shared" si="6"/>
        <v>0</v>
      </c>
      <c r="Z20" s="106"/>
      <c r="AA20" s="166">
        <f t="shared" si="7"/>
        <v>0</v>
      </c>
      <c r="AB20" s="220">
        <v>0</v>
      </c>
      <c r="AC20" s="63"/>
      <c r="AD20" s="106">
        <f t="shared" si="8"/>
        <v>0</v>
      </c>
      <c r="AE20" s="106"/>
      <c r="AF20" s="106"/>
      <c r="AG20" s="106"/>
      <c r="AH20" s="106">
        <f t="shared" si="9"/>
        <v>0</v>
      </c>
      <c r="AI20" s="106"/>
      <c r="AJ20" s="106">
        <f t="shared" si="10"/>
        <v>0</v>
      </c>
      <c r="AK20" s="106"/>
      <c r="AL20" s="166">
        <f t="shared" si="11"/>
        <v>0</v>
      </c>
      <c r="AM20" s="234">
        <f t="shared" si="12"/>
        <v>0</v>
      </c>
      <c r="AN20" s="112">
        <f t="shared" si="13"/>
        <v>0</v>
      </c>
      <c r="AO20" s="112">
        <f t="shared" si="14"/>
        <v>0</v>
      </c>
      <c r="AP20" s="113">
        <f t="shared" si="15"/>
        <v>0</v>
      </c>
      <c r="AQ20" s="113">
        <f t="shared" si="22"/>
        <v>0</v>
      </c>
      <c r="AR20" s="113">
        <f t="shared" si="16"/>
        <v>0</v>
      </c>
      <c r="AS20" s="113">
        <f t="shared" si="17"/>
        <v>0</v>
      </c>
      <c r="AT20" s="113">
        <f t="shared" si="18"/>
        <v>0</v>
      </c>
      <c r="AU20" s="113">
        <f t="shared" si="19"/>
        <v>0</v>
      </c>
      <c r="AV20" s="113">
        <f t="shared" si="20"/>
        <v>0</v>
      </c>
      <c r="AW20" s="125">
        <f t="shared" si="21"/>
        <v>0</v>
      </c>
    </row>
    <row r="21" spans="1:49" ht="12.75" customHeight="1" x14ac:dyDescent="0.2">
      <c r="A21" s="56" t="s">
        <v>15</v>
      </c>
      <c r="B21" s="79" t="s">
        <v>77</v>
      </c>
      <c r="C21" s="221">
        <v>0</v>
      </c>
      <c r="D21" s="64"/>
      <c r="E21" s="62">
        <f t="shared" si="0"/>
        <v>0</v>
      </c>
      <c r="F21" s="106"/>
      <c r="G21" s="106"/>
      <c r="H21" s="106"/>
      <c r="I21" s="106">
        <f t="shared" si="1"/>
        <v>0</v>
      </c>
      <c r="J21" s="106"/>
      <c r="K21" s="166">
        <f t="shared" si="2"/>
        <v>0</v>
      </c>
      <c r="L21" s="221">
        <v>0</v>
      </c>
      <c r="M21" s="64"/>
      <c r="N21" s="62">
        <f t="shared" si="3"/>
        <v>0</v>
      </c>
      <c r="O21" s="106"/>
      <c r="P21" s="106"/>
      <c r="Q21" s="106"/>
      <c r="R21" s="166">
        <f t="shared" si="4"/>
        <v>0</v>
      </c>
      <c r="S21" s="221">
        <v>0</v>
      </c>
      <c r="T21" s="64"/>
      <c r="U21" s="62">
        <f t="shared" si="5"/>
        <v>0</v>
      </c>
      <c r="V21" s="106"/>
      <c r="W21" s="106"/>
      <c r="X21" s="106"/>
      <c r="Y21" s="106">
        <f t="shared" si="6"/>
        <v>0</v>
      </c>
      <c r="Z21" s="106"/>
      <c r="AA21" s="166">
        <f t="shared" si="7"/>
        <v>0</v>
      </c>
      <c r="AB21" s="221">
        <v>0</v>
      </c>
      <c r="AC21" s="63"/>
      <c r="AD21" s="106">
        <f t="shared" si="8"/>
        <v>0</v>
      </c>
      <c r="AE21" s="106"/>
      <c r="AF21" s="106"/>
      <c r="AG21" s="106"/>
      <c r="AH21" s="106">
        <f t="shared" si="9"/>
        <v>0</v>
      </c>
      <c r="AI21" s="106"/>
      <c r="AJ21" s="106">
        <f t="shared" si="10"/>
        <v>0</v>
      </c>
      <c r="AK21" s="106"/>
      <c r="AL21" s="166">
        <f t="shared" si="11"/>
        <v>0</v>
      </c>
      <c r="AM21" s="232">
        <f t="shared" si="12"/>
        <v>0</v>
      </c>
      <c r="AN21" s="112">
        <f t="shared" si="13"/>
        <v>0</v>
      </c>
      <c r="AO21" s="112">
        <f t="shared" si="14"/>
        <v>0</v>
      </c>
      <c r="AP21" s="113">
        <f t="shared" si="15"/>
        <v>0</v>
      </c>
      <c r="AQ21" s="113">
        <f t="shared" si="22"/>
        <v>0</v>
      </c>
      <c r="AR21" s="113">
        <f t="shared" si="16"/>
        <v>0</v>
      </c>
      <c r="AS21" s="113">
        <f t="shared" si="17"/>
        <v>0</v>
      </c>
      <c r="AT21" s="113">
        <f t="shared" si="18"/>
        <v>0</v>
      </c>
      <c r="AU21" s="113">
        <f t="shared" si="19"/>
        <v>0</v>
      </c>
      <c r="AV21" s="113">
        <f t="shared" si="20"/>
        <v>0</v>
      </c>
      <c r="AW21" s="125">
        <f t="shared" si="21"/>
        <v>0</v>
      </c>
    </row>
    <row r="22" spans="1:49" s="7" customFormat="1" ht="12.75" customHeight="1" x14ac:dyDescent="0.2">
      <c r="A22" s="55" t="s">
        <v>16</v>
      </c>
      <c r="B22" s="206" t="s">
        <v>48</v>
      </c>
      <c r="C22" s="220">
        <f>C20+C19+C15</f>
        <v>104683617</v>
      </c>
      <c r="D22" s="63"/>
      <c r="E22" s="62">
        <f t="shared" si="0"/>
        <v>104683617</v>
      </c>
      <c r="F22" s="106">
        <v>-294</v>
      </c>
      <c r="G22" s="106">
        <v>104390</v>
      </c>
      <c r="H22" s="106">
        <f>SUM(H15)</f>
        <v>-362</v>
      </c>
      <c r="I22" s="106">
        <f t="shared" si="1"/>
        <v>104028</v>
      </c>
      <c r="J22" s="106">
        <f>SUM(J15)</f>
        <v>2541</v>
      </c>
      <c r="K22" s="166">
        <f t="shared" si="2"/>
        <v>106569</v>
      </c>
      <c r="L22" s="220">
        <f>L20+L19+L15</f>
        <v>3573767</v>
      </c>
      <c r="M22" s="63"/>
      <c r="N22" s="62">
        <f t="shared" si="3"/>
        <v>3573767</v>
      </c>
      <c r="O22" s="106">
        <v>-25</v>
      </c>
      <c r="P22" s="106">
        <v>3549</v>
      </c>
      <c r="Q22" s="106">
        <f>SUM(Q15)</f>
        <v>-395</v>
      </c>
      <c r="R22" s="166">
        <f t="shared" si="4"/>
        <v>3154</v>
      </c>
      <c r="S22" s="227">
        <v>11710</v>
      </c>
      <c r="T22" s="63">
        <f>SUM(T15)</f>
        <v>465000</v>
      </c>
      <c r="U22" s="106">
        <v>12175</v>
      </c>
      <c r="V22" s="106">
        <f>SUM(V19+V15)</f>
        <v>-67</v>
      </c>
      <c r="W22" s="106">
        <f>W15+W19</f>
        <v>12108</v>
      </c>
      <c r="X22" s="106">
        <f>X15+X19</f>
        <v>-216</v>
      </c>
      <c r="Y22" s="106">
        <f t="shared" si="6"/>
        <v>11892</v>
      </c>
      <c r="Z22" s="106">
        <f>SUM(Z15)</f>
        <v>563</v>
      </c>
      <c r="AA22" s="166">
        <f t="shared" si="7"/>
        <v>12455</v>
      </c>
      <c r="AB22" s="227">
        <v>23297</v>
      </c>
      <c r="AC22" s="63">
        <f>SUM(AC15)</f>
        <v>204000</v>
      </c>
      <c r="AD22" s="106">
        <v>23501</v>
      </c>
      <c r="AE22" s="106">
        <v>466</v>
      </c>
      <c r="AF22" s="106">
        <f>SUM(AF15+AF19)</f>
        <v>23967</v>
      </c>
      <c r="AG22" s="106">
        <f>SUM(AG15)</f>
        <v>877</v>
      </c>
      <c r="AH22" s="106">
        <f t="shared" si="9"/>
        <v>24844</v>
      </c>
      <c r="AI22" s="106">
        <v>114</v>
      </c>
      <c r="AJ22" s="106">
        <f t="shared" si="10"/>
        <v>24958</v>
      </c>
      <c r="AK22" s="106">
        <f>SUM(AK15)</f>
        <v>-839</v>
      </c>
      <c r="AL22" s="166">
        <f t="shared" si="11"/>
        <v>24119</v>
      </c>
      <c r="AM22" s="233">
        <v>143265</v>
      </c>
      <c r="AN22" s="112">
        <f t="shared" si="13"/>
        <v>669000</v>
      </c>
      <c r="AO22" s="114">
        <v>143934</v>
      </c>
      <c r="AP22" s="113">
        <f t="shared" si="15"/>
        <v>80</v>
      </c>
      <c r="AQ22" s="113">
        <f>SUM(AQ15+AQ19)</f>
        <v>144014</v>
      </c>
      <c r="AR22" s="113">
        <f t="shared" si="16"/>
        <v>299</v>
      </c>
      <c r="AS22" s="113">
        <f t="shared" si="17"/>
        <v>144313</v>
      </c>
      <c r="AT22" s="113">
        <f t="shared" si="18"/>
        <v>114</v>
      </c>
      <c r="AU22" s="113">
        <f t="shared" si="19"/>
        <v>144427</v>
      </c>
      <c r="AV22" s="113">
        <f t="shared" si="20"/>
        <v>1870</v>
      </c>
      <c r="AW22" s="125">
        <f t="shared" si="21"/>
        <v>146297</v>
      </c>
    </row>
    <row r="23" spans="1:49" ht="12.75" customHeight="1" x14ac:dyDescent="0.2">
      <c r="A23" s="589" t="s">
        <v>55</v>
      </c>
      <c r="B23" s="590"/>
      <c r="C23" s="220"/>
      <c r="D23" s="63"/>
      <c r="E23" s="62">
        <f t="shared" si="0"/>
        <v>0</v>
      </c>
      <c r="F23" s="106"/>
      <c r="G23" s="106"/>
      <c r="H23" s="106"/>
      <c r="I23" s="106">
        <f t="shared" si="1"/>
        <v>0</v>
      </c>
      <c r="J23" s="106"/>
      <c r="K23" s="166">
        <f t="shared" si="2"/>
        <v>0</v>
      </c>
      <c r="L23" s="220"/>
      <c r="M23" s="63"/>
      <c r="N23" s="62">
        <f t="shared" si="3"/>
        <v>0</v>
      </c>
      <c r="O23" s="106"/>
      <c r="P23" s="106"/>
      <c r="Q23" s="106"/>
      <c r="R23" s="166">
        <f t="shared" si="4"/>
        <v>0</v>
      </c>
      <c r="S23" s="220"/>
      <c r="T23" s="63"/>
      <c r="U23" s="62">
        <f t="shared" si="5"/>
        <v>0</v>
      </c>
      <c r="V23" s="106"/>
      <c r="W23" s="106"/>
      <c r="X23" s="106"/>
      <c r="Y23" s="106">
        <f t="shared" si="6"/>
        <v>0</v>
      </c>
      <c r="Z23" s="106"/>
      <c r="AA23" s="166">
        <f t="shared" si="7"/>
        <v>0</v>
      </c>
      <c r="AB23" s="220"/>
      <c r="AC23" s="63"/>
      <c r="AD23" s="62">
        <f t="shared" si="8"/>
        <v>0</v>
      </c>
      <c r="AE23" s="106"/>
      <c r="AF23" s="106"/>
      <c r="AG23" s="106"/>
      <c r="AH23" s="106">
        <f t="shared" si="9"/>
        <v>0</v>
      </c>
      <c r="AI23" s="106"/>
      <c r="AJ23" s="106">
        <f t="shared" si="10"/>
        <v>0</v>
      </c>
      <c r="AK23" s="106"/>
      <c r="AL23" s="166">
        <f t="shared" si="11"/>
        <v>0</v>
      </c>
      <c r="AM23" s="232">
        <f t="shared" si="12"/>
        <v>0</v>
      </c>
      <c r="AN23" s="112">
        <f t="shared" si="13"/>
        <v>0</v>
      </c>
      <c r="AO23" s="112">
        <f t="shared" si="14"/>
        <v>0</v>
      </c>
      <c r="AP23" s="113">
        <f t="shared" ref="AP23:AP39" si="23">F23+O23+V23+AE23</f>
        <v>0</v>
      </c>
      <c r="AQ23" s="113">
        <f t="shared" si="22"/>
        <v>0</v>
      </c>
      <c r="AR23" s="113">
        <f t="shared" si="16"/>
        <v>0</v>
      </c>
      <c r="AS23" s="113">
        <f t="shared" si="17"/>
        <v>0</v>
      </c>
      <c r="AT23" s="113">
        <f t="shared" si="18"/>
        <v>0</v>
      </c>
      <c r="AU23" s="113">
        <f t="shared" si="19"/>
        <v>0</v>
      </c>
      <c r="AV23" s="113">
        <f t="shared" si="20"/>
        <v>0</v>
      </c>
      <c r="AW23" s="125">
        <f t="shared" si="21"/>
        <v>0</v>
      </c>
    </row>
    <row r="24" spans="1:49" ht="12.75" customHeight="1" x14ac:dyDescent="0.2">
      <c r="A24" s="56" t="s">
        <v>17</v>
      </c>
      <c r="B24" s="66" t="s">
        <v>78</v>
      </c>
      <c r="C24" s="220">
        <v>0</v>
      </c>
      <c r="D24" s="63"/>
      <c r="E24" s="62">
        <f t="shared" si="0"/>
        <v>0</v>
      </c>
      <c r="F24" s="106"/>
      <c r="G24" s="106"/>
      <c r="H24" s="106"/>
      <c r="I24" s="106">
        <f t="shared" si="1"/>
        <v>0</v>
      </c>
      <c r="J24" s="106"/>
      <c r="K24" s="166">
        <f t="shared" si="2"/>
        <v>0</v>
      </c>
      <c r="L24" s="220">
        <v>0</v>
      </c>
      <c r="M24" s="63"/>
      <c r="N24" s="62">
        <f t="shared" si="3"/>
        <v>0</v>
      </c>
      <c r="O24" s="106"/>
      <c r="P24" s="106"/>
      <c r="Q24" s="106"/>
      <c r="R24" s="166">
        <f t="shared" si="4"/>
        <v>0</v>
      </c>
      <c r="S24" s="220">
        <v>0</v>
      </c>
      <c r="T24" s="63"/>
      <c r="U24" s="62">
        <f t="shared" si="5"/>
        <v>0</v>
      </c>
      <c r="V24" s="106"/>
      <c r="W24" s="106"/>
      <c r="X24" s="106"/>
      <c r="Y24" s="106">
        <f t="shared" si="6"/>
        <v>0</v>
      </c>
      <c r="Z24" s="106"/>
      <c r="AA24" s="166">
        <f t="shared" si="7"/>
        <v>0</v>
      </c>
      <c r="AB24" s="220">
        <v>0</v>
      </c>
      <c r="AC24" s="63"/>
      <c r="AD24" s="62">
        <f t="shared" si="8"/>
        <v>0</v>
      </c>
      <c r="AE24" s="106"/>
      <c r="AF24" s="106"/>
      <c r="AG24" s="106"/>
      <c r="AH24" s="106">
        <f t="shared" si="9"/>
        <v>0</v>
      </c>
      <c r="AI24" s="106"/>
      <c r="AJ24" s="106">
        <f t="shared" si="10"/>
        <v>0</v>
      </c>
      <c r="AK24" s="106"/>
      <c r="AL24" s="166">
        <f t="shared" si="11"/>
        <v>0</v>
      </c>
      <c r="AM24" s="232">
        <f t="shared" si="12"/>
        <v>0</v>
      </c>
      <c r="AN24" s="112">
        <f t="shared" si="13"/>
        <v>0</v>
      </c>
      <c r="AO24" s="112">
        <f t="shared" si="14"/>
        <v>0</v>
      </c>
      <c r="AP24" s="113">
        <f t="shared" si="23"/>
        <v>0</v>
      </c>
      <c r="AQ24" s="113">
        <f t="shared" si="22"/>
        <v>0</v>
      </c>
      <c r="AR24" s="113">
        <f t="shared" si="16"/>
        <v>0</v>
      </c>
      <c r="AS24" s="113">
        <f t="shared" si="17"/>
        <v>0</v>
      </c>
      <c r="AT24" s="113">
        <f t="shared" si="18"/>
        <v>0</v>
      </c>
      <c r="AU24" s="113">
        <f t="shared" si="19"/>
        <v>0</v>
      </c>
      <c r="AV24" s="113">
        <f t="shared" si="20"/>
        <v>0</v>
      </c>
      <c r="AW24" s="125">
        <f t="shared" si="21"/>
        <v>0</v>
      </c>
    </row>
    <row r="25" spans="1:49" ht="12.75" customHeight="1" x14ac:dyDescent="0.2">
      <c r="A25" s="56" t="s">
        <v>18</v>
      </c>
      <c r="B25" s="79" t="s">
        <v>79</v>
      </c>
      <c r="C25" s="220">
        <v>0</v>
      </c>
      <c r="D25" s="63"/>
      <c r="E25" s="62">
        <f t="shared" si="0"/>
        <v>0</v>
      </c>
      <c r="F25" s="106"/>
      <c r="G25" s="106"/>
      <c r="H25" s="106"/>
      <c r="I25" s="106">
        <f t="shared" si="1"/>
        <v>0</v>
      </c>
      <c r="J25" s="106"/>
      <c r="K25" s="166">
        <f t="shared" si="2"/>
        <v>0</v>
      </c>
      <c r="L25" s="220">
        <v>0</v>
      </c>
      <c r="M25" s="63"/>
      <c r="N25" s="62">
        <f t="shared" si="3"/>
        <v>0</v>
      </c>
      <c r="O25" s="106"/>
      <c r="P25" s="106"/>
      <c r="Q25" s="106"/>
      <c r="R25" s="166">
        <f t="shared" si="4"/>
        <v>0</v>
      </c>
      <c r="S25" s="220">
        <v>0</v>
      </c>
      <c r="T25" s="63"/>
      <c r="U25" s="62">
        <f t="shared" si="5"/>
        <v>0</v>
      </c>
      <c r="V25" s="106"/>
      <c r="W25" s="106"/>
      <c r="X25" s="106"/>
      <c r="Y25" s="106">
        <f t="shared" si="6"/>
        <v>0</v>
      </c>
      <c r="Z25" s="106"/>
      <c r="AA25" s="166">
        <f t="shared" si="7"/>
        <v>0</v>
      </c>
      <c r="AB25" s="220">
        <v>0</v>
      </c>
      <c r="AC25" s="63"/>
      <c r="AD25" s="62">
        <f t="shared" si="8"/>
        <v>0</v>
      </c>
      <c r="AE25" s="106"/>
      <c r="AF25" s="106"/>
      <c r="AG25" s="106"/>
      <c r="AH25" s="106">
        <f t="shared" si="9"/>
        <v>0</v>
      </c>
      <c r="AI25" s="106"/>
      <c r="AJ25" s="106">
        <f t="shared" si="10"/>
        <v>0</v>
      </c>
      <c r="AK25" s="106"/>
      <c r="AL25" s="166">
        <f t="shared" si="11"/>
        <v>0</v>
      </c>
      <c r="AM25" s="232">
        <f t="shared" si="12"/>
        <v>0</v>
      </c>
      <c r="AN25" s="112">
        <f t="shared" si="13"/>
        <v>0</v>
      </c>
      <c r="AO25" s="112">
        <f t="shared" si="14"/>
        <v>0</v>
      </c>
      <c r="AP25" s="113">
        <f t="shared" si="23"/>
        <v>0</v>
      </c>
      <c r="AQ25" s="113">
        <f t="shared" si="22"/>
        <v>0</v>
      </c>
      <c r="AR25" s="113">
        <f t="shared" si="16"/>
        <v>0</v>
      </c>
      <c r="AS25" s="113">
        <f t="shared" si="17"/>
        <v>0</v>
      </c>
      <c r="AT25" s="113">
        <f t="shared" si="18"/>
        <v>0</v>
      </c>
      <c r="AU25" s="113">
        <f t="shared" si="19"/>
        <v>0</v>
      </c>
      <c r="AV25" s="113">
        <f t="shared" si="20"/>
        <v>0</v>
      </c>
      <c r="AW25" s="125">
        <f t="shared" si="21"/>
        <v>0</v>
      </c>
    </row>
    <row r="26" spans="1:49" ht="12.75" customHeight="1" x14ac:dyDescent="0.2">
      <c r="A26" s="56" t="s">
        <v>19</v>
      </c>
      <c r="B26" s="66" t="s">
        <v>40</v>
      </c>
      <c r="C26" s="220">
        <v>0</v>
      </c>
      <c r="D26" s="63"/>
      <c r="E26" s="62">
        <f t="shared" si="0"/>
        <v>0</v>
      </c>
      <c r="F26" s="106"/>
      <c r="G26" s="106"/>
      <c r="H26" s="106"/>
      <c r="I26" s="106">
        <f t="shared" si="1"/>
        <v>0</v>
      </c>
      <c r="J26" s="106"/>
      <c r="K26" s="166">
        <f t="shared" si="2"/>
        <v>0</v>
      </c>
      <c r="L26" s="220">
        <v>0</v>
      </c>
      <c r="M26" s="63"/>
      <c r="N26" s="62">
        <f t="shared" si="3"/>
        <v>0</v>
      </c>
      <c r="O26" s="106"/>
      <c r="P26" s="106"/>
      <c r="Q26" s="106"/>
      <c r="R26" s="166">
        <f t="shared" si="4"/>
        <v>0</v>
      </c>
      <c r="S26" s="220">
        <v>0</v>
      </c>
      <c r="T26" s="63"/>
      <c r="U26" s="62">
        <f t="shared" si="5"/>
        <v>0</v>
      </c>
      <c r="V26" s="106"/>
      <c r="W26" s="106"/>
      <c r="X26" s="106"/>
      <c r="Y26" s="106">
        <f t="shared" si="6"/>
        <v>0</v>
      </c>
      <c r="Z26" s="106"/>
      <c r="AA26" s="166">
        <f t="shared" si="7"/>
        <v>0</v>
      </c>
      <c r="AB26" s="220">
        <v>0</v>
      </c>
      <c r="AC26" s="63"/>
      <c r="AD26" s="62">
        <f t="shared" si="8"/>
        <v>0</v>
      </c>
      <c r="AE26" s="106"/>
      <c r="AF26" s="106"/>
      <c r="AG26" s="106"/>
      <c r="AH26" s="106">
        <f t="shared" si="9"/>
        <v>0</v>
      </c>
      <c r="AI26" s="106"/>
      <c r="AJ26" s="106">
        <f t="shared" si="10"/>
        <v>0</v>
      </c>
      <c r="AK26" s="106"/>
      <c r="AL26" s="166">
        <f t="shared" si="11"/>
        <v>0</v>
      </c>
      <c r="AM26" s="232">
        <f t="shared" si="12"/>
        <v>0</v>
      </c>
      <c r="AN26" s="112">
        <f t="shared" si="13"/>
        <v>0</v>
      </c>
      <c r="AO26" s="112">
        <f t="shared" si="14"/>
        <v>0</v>
      </c>
      <c r="AP26" s="113">
        <f t="shared" si="23"/>
        <v>0</v>
      </c>
      <c r="AQ26" s="113">
        <f t="shared" si="22"/>
        <v>0</v>
      </c>
      <c r="AR26" s="113">
        <f t="shared" si="16"/>
        <v>0</v>
      </c>
      <c r="AS26" s="113">
        <f t="shared" si="17"/>
        <v>0</v>
      </c>
      <c r="AT26" s="113">
        <f t="shared" si="18"/>
        <v>0</v>
      </c>
      <c r="AU26" s="113">
        <f t="shared" si="19"/>
        <v>0</v>
      </c>
      <c r="AV26" s="113">
        <f t="shared" si="20"/>
        <v>0</v>
      </c>
      <c r="AW26" s="125">
        <f t="shared" si="21"/>
        <v>0</v>
      </c>
    </row>
    <row r="27" spans="1:49" ht="12.75" customHeight="1" x14ac:dyDescent="0.2">
      <c r="A27" s="56" t="s">
        <v>20</v>
      </c>
      <c r="B27" s="66" t="s">
        <v>49</v>
      </c>
      <c r="C27" s="219">
        <v>0</v>
      </c>
      <c r="D27" s="62"/>
      <c r="E27" s="62">
        <f t="shared" si="0"/>
        <v>0</v>
      </c>
      <c r="F27" s="106"/>
      <c r="G27" s="106"/>
      <c r="H27" s="106"/>
      <c r="I27" s="106">
        <f t="shared" si="1"/>
        <v>0</v>
      </c>
      <c r="J27" s="106"/>
      <c r="K27" s="166">
        <f t="shared" si="2"/>
        <v>0</v>
      </c>
      <c r="L27" s="219">
        <v>0</v>
      </c>
      <c r="M27" s="62"/>
      <c r="N27" s="62">
        <f t="shared" si="3"/>
        <v>0</v>
      </c>
      <c r="O27" s="106"/>
      <c r="P27" s="106"/>
      <c r="Q27" s="106"/>
      <c r="R27" s="166">
        <f t="shared" si="4"/>
        <v>0</v>
      </c>
      <c r="S27" s="219">
        <v>0</v>
      </c>
      <c r="T27" s="62"/>
      <c r="U27" s="62">
        <f t="shared" si="5"/>
        <v>0</v>
      </c>
      <c r="V27" s="106"/>
      <c r="W27" s="106"/>
      <c r="X27" s="106"/>
      <c r="Y27" s="106">
        <f t="shared" si="6"/>
        <v>0</v>
      </c>
      <c r="Z27" s="106"/>
      <c r="AA27" s="166">
        <f t="shared" si="7"/>
        <v>0</v>
      </c>
      <c r="AB27" s="219">
        <v>0</v>
      </c>
      <c r="AC27" s="62"/>
      <c r="AD27" s="62">
        <f t="shared" si="8"/>
        <v>0</v>
      </c>
      <c r="AE27" s="106"/>
      <c r="AF27" s="106"/>
      <c r="AG27" s="106"/>
      <c r="AH27" s="106">
        <f t="shared" si="9"/>
        <v>0</v>
      </c>
      <c r="AI27" s="106"/>
      <c r="AJ27" s="106">
        <f t="shared" si="10"/>
        <v>0</v>
      </c>
      <c r="AK27" s="106"/>
      <c r="AL27" s="166">
        <f t="shared" si="11"/>
        <v>0</v>
      </c>
      <c r="AM27" s="232">
        <f t="shared" si="12"/>
        <v>0</v>
      </c>
      <c r="AN27" s="112">
        <f t="shared" si="13"/>
        <v>0</v>
      </c>
      <c r="AO27" s="112">
        <f t="shared" si="14"/>
        <v>0</v>
      </c>
      <c r="AP27" s="113">
        <f t="shared" si="23"/>
        <v>0</v>
      </c>
      <c r="AQ27" s="113">
        <f t="shared" si="22"/>
        <v>0</v>
      </c>
      <c r="AR27" s="113">
        <f t="shared" si="16"/>
        <v>0</v>
      </c>
      <c r="AS27" s="113">
        <f t="shared" si="17"/>
        <v>0</v>
      </c>
      <c r="AT27" s="113">
        <f t="shared" si="18"/>
        <v>0</v>
      </c>
      <c r="AU27" s="113">
        <f t="shared" si="19"/>
        <v>0</v>
      </c>
      <c r="AV27" s="113">
        <f t="shared" si="20"/>
        <v>0</v>
      </c>
      <c r="AW27" s="125">
        <f t="shared" si="21"/>
        <v>0</v>
      </c>
    </row>
    <row r="28" spans="1:49" ht="12.75" customHeight="1" x14ac:dyDescent="0.2">
      <c r="A28" s="56" t="s">
        <v>21</v>
      </c>
      <c r="B28" s="66" t="s">
        <v>50</v>
      </c>
      <c r="C28" s="219">
        <v>0</v>
      </c>
      <c r="D28" s="62"/>
      <c r="E28" s="62">
        <f t="shared" si="0"/>
        <v>0</v>
      </c>
      <c r="F28" s="106"/>
      <c r="G28" s="106"/>
      <c r="H28" s="106"/>
      <c r="I28" s="106">
        <f t="shared" si="1"/>
        <v>0</v>
      </c>
      <c r="J28" s="106"/>
      <c r="K28" s="166">
        <f t="shared" si="2"/>
        <v>0</v>
      </c>
      <c r="L28" s="219">
        <v>0</v>
      </c>
      <c r="M28" s="62"/>
      <c r="N28" s="62">
        <f t="shared" si="3"/>
        <v>0</v>
      </c>
      <c r="O28" s="106"/>
      <c r="P28" s="106"/>
      <c r="Q28" s="106"/>
      <c r="R28" s="166">
        <f t="shared" si="4"/>
        <v>0</v>
      </c>
      <c r="S28" s="219">
        <v>0</v>
      </c>
      <c r="T28" s="62"/>
      <c r="U28" s="62">
        <f t="shared" si="5"/>
        <v>0</v>
      </c>
      <c r="V28" s="106"/>
      <c r="W28" s="106"/>
      <c r="X28" s="106"/>
      <c r="Y28" s="106">
        <f t="shared" si="6"/>
        <v>0</v>
      </c>
      <c r="Z28" s="106"/>
      <c r="AA28" s="166">
        <f t="shared" si="7"/>
        <v>0</v>
      </c>
      <c r="AB28" s="219">
        <v>0</v>
      </c>
      <c r="AC28" s="62"/>
      <c r="AD28" s="62">
        <f t="shared" si="8"/>
        <v>0</v>
      </c>
      <c r="AE28" s="106"/>
      <c r="AF28" s="106"/>
      <c r="AG28" s="106"/>
      <c r="AH28" s="106">
        <f t="shared" si="9"/>
        <v>0</v>
      </c>
      <c r="AI28" s="106"/>
      <c r="AJ28" s="106">
        <f t="shared" si="10"/>
        <v>0</v>
      </c>
      <c r="AK28" s="106"/>
      <c r="AL28" s="166">
        <f t="shared" si="11"/>
        <v>0</v>
      </c>
      <c r="AM28" s="232">
        <f t="shared" si="12"/>
        <v>0</v>
      </c>
      <c r="AN28" s="112">
        <f t="shared" si="13"/>
        <v>0</v>
      </c>
      <c r="AO28" s="112">
        <f t="shared" si="14"/>
        <v>0</v>
      </c>
      <c r="AP28" s="113">
        <f t="shared" si="23"/>
        <v>0</v>
      </c>
      <c r="AQ28" s="113">
        <f t="shared" si="22"/>
        <v>0</v>
      </c>
      <c r="AR28" s="113">
        <f t="shared" si="16"/>
        <v>0</v>
      </c>
      <c r="AS28" s="113">
        <f t="shared" si="17"/>
        <v>0</v>
      </c>
      <c r="AT28" s="113">
        <f t="shared" si="18"/>
        <v>0</v>
      </c>
      <c r="AU28" s="113">
        <f t="shared" si="19"/>
        <v>0</v>
      </c>
      <c r="AV28" s="113">
        <f t="shared" si="20"/>
        <v>0</v>
      </c>
      <c r="AW28" s="125">
        <f t="shared" si="21"/>
        <v>0</v>
      </c>
    </row>
    <row r="29" spans="1:49" s="7" customFormat="1" ht="12.75" customHeight="1" x14ac:dyDescent="0.2">
      <c r="A29" s="55" t="s">
        <v>22</v>
      </c>
      <c r="B29" s="206" t="s">
        <v>51</v>
      </c>
      <c r="C29" s="220">
        <f>C28+C27+C26+C25+C24</f>
        <v>0</v>
      </c>
      <c r="D29" s="63"/>
      <c r="E29" s="62">
        <f t="shared" si="0"/>
        <v>0</v>
      </c>
      <c r="F29" s="106"/>
      <c r="G29" s="106"/>
      <c r="H29" s="106"/>
      <c r="I29" s="106">
        <f t="shared" si="1"/>
        <v>0</v>
      </c>
      <c r="J29" s="106"/>
      <c r="K29" s="166">
        <f t="shared" si="2"/>
        <v>0</v>
      </c>
      <c r="L29" s="220">
        <f>L28+L27+L26+L25+L24</f>
        <v>0</v>
      </c>
      <c r="M29" s="63"/>
      <c r="N29" s="62">
        <f t="shared" si="3"/>
        <v>0</v>
      </c>
      <c r="O29" s="106"/>
      <c r="P29" s="106"/>
      <c r="Q29" s="106"/>
      <c r="R29" s="166">
        <f t="shared" si="4"/>
        <v>0</v>
      </c>
      <c r="S29" s="220">
        <f>S28+S27+S26+S25+S24</f>
        <v>0</v>
      </c>
      <c r="T29" s="63"/>
      <c r="U29" s="62">
        <f t="shared" si="5"/>
        <v>0</v>
      </c>
      <c r="V29" s="106"/>
      <c r="W29" s="106"/>
      <c r="X29" s="106"/>
      <c r="Y29" s="106">
        <f t="shared" si="6"/>
        <v>0</v>
      </c>
      <c r="Z29" s="106"/>
      <c r="AA29" s="166">
        <f t="shared" si="7"/>
        <v>0</v>
      </c>
      <c r="AB29" s="220">
        <f>AB28+AB27+AB26+AB25+AB24</f>
        <v>0</v>
      </c>
      <c r="AC29" s="63"/>
      <c r="AD29" s="62">
        <f t="shared" si="8"/>
        <v>0</v>
      </c>
      <c r="AE29" s="106"/>
      <c r="AF29" s="106"/>
      <c r="AG29" s="106"/>
      <c r="AH29" s="106">
        <f t="shared" si="9"/>
        <v>0</v>
      </c>
      <c r="AI29" s="106"/>
      <c r="AJ29" s="106">
        <f t="shared" si="10"/>
        <v>0</v>
      </c>
      <c r="AK29" s="106"/>
      <c r="AL29" s="166">
        <f t="shared" si="11"/>
        <v>0</v>
      </c>
      <c r="AM29" s="234">
        <f t="shared" si="12"/>
        <v>0</v>
      </c>
      <c r="AN29" s="112">
        <f t="shared" si="13"/>
        <v>0</v>
      </c>
      <c r="AO29" s="112">
        <f t="shared" si="14"/>
        <v>0</v>
      </c>
      <c r="AP29" s="113">
        <f t="shared" si="23"/>
        <v>0</v>
      </c>
      <c r="AQ29" s="113">
        <f t="shared" si="22"/>
        <v>0</v>
      </c>
      <c r="AR29" s="113">
        <f t="shared" si="16"/>
        <v>0</v>
      </c>
      <c r="AS29" s="113">
        <f t="shared" si="17"/>
        <v>0</v>
      </c>
      <c r="AT29" s="113">
        <f t="shared" si="18"/>
        <v>0</v>
      </c>
      <c r="AU29" s="113">
        <f t="shared" si="19"/>
        <v>0</v>
      </c>
      <c r="AV29" s="113">
        <f t="shared" si="20"/>
        <v>0</v>
      </c>
      <c r="AW29" s="125">
        <f t="shared" si="21"/>
        <v>0</v>
      </c>
    </row>
    <row r="30" spans="1:49" ht="12.75" customHeight="1" x14ac:dyDescent="0.2">
      <c r="A30" s="56" t="s">
        <v>23</v>
      </c>
      <c r="B30" s="66" t="s">
        <v>80</v>
      </c>
      <c r="C30" s="219">
        <v>0</v>
      </c>
      <c r="D30" s="62"/>
      <c r="E30" s="62">
        <f t="shared" si="0"/>
        <v>0</v>
      </c>
      <c r="F30" s="106"/>
      <c r="G30" s="106"/>
      <c r="H30" s="106"/>
      <c r="I30" s="106">
        <f t="shared" si="1"/>
        <v>0</v>
      </c>
      <c r="J30" s="106"/>
      <c r="K30" s="166">
        <f t="shared" si="2"/>
        <v>0</v>
      </c>
      <c r="L30" s="219">
        <v>0</v>
      </c>
      <c r="M30" s="62"/>
      <c r="N30" s="62">
        <f t="shared" si="3"/>
        <v>0</v>
      </c>
      <c r="O30" s="106"/>
      <c r="P30" s="106"/>
      <c r="Q30" s="106"/>
      <c r="R30" s="166">
        <f t="shared" si="4"/>
        <v>0</v>
      </c>
      <c r="S30" s="219">
        <v>0</v>
      </c>
      <c r="T30" s="62"/>
      <c r="U30" s="62">
        <f t="shared" si="5"/>
        <v>0</v>
      </c>
      <c r="V30" s="106"/>
      <c r="W30" s="106"/>
      <c r="X30" s="106"/>
      <c r="Y30" s="106">
        <f t="shared" si="6"/>
        <v>0</v>
      </c>
      <c r="Z30" s="106"/>
      <c r="AA30" s="166">
        <f t="shared" si="7"/>
        <v>0</v>
      </c>
      <c r="AB30" s="219">
        <v>0</v>
      </c>
      <c r="AC30" s="62"/>
      <c r="AD30" s="62">
        <f t="shared" si="8"/>
        <v>0</v>
      </c>
      <c r="AE30" s="106"/>
      <c r="AF30" s="106"/>
      <c r="AG30" s="106"/>
      <c r="AH30" s="106">
        <f t="shared" si="9"/>
        <v>0</v>
      </c>
      <c r="AI30" s="106"/>
      <c r="AJ30" s="106">
        <f t="shared" si="10"/>
        <v>0</v>
      </c>
      <c r="AK30" s="106"/>
      <c r="AL30" s="166">
        <f t="shared" si="11"/>
        <v>0</v>
      </c>
      <c r="AM30" s="232">
        <f t="shared" si="12"/>
        <v>0</v>
      </c>
      <c r="AN30" s="112">
        <f t="shared" si="13"/>
        <v>0</v>
      </c>
      <c r="AO30" s="112">
        <f t="shared" si="14"/>
        <v>0</v>
      </c>
      <c r="AP30" s="113">
        <f t="shared" si="23"/>
        <v>0</v>
      </c>
      <c r="AQ30" s="113">
        <f t="shared" si="22"/>
        <v>0</v>
      </c>
      <c r="AR30" s="113">
        <f t="shared" si="16"/>
        <v>0</v>
      </c>
      <c r="AS30" s="113">
        <f t="shared" si="17"/>
        <v>0</v>
      </c>
      <c r="AT30" s="113">
        <f t="shared" si="18"/>
        <v>0</v>
      </c>
      <c r="AU30" s="113">
        <f t="shared" si="19"/>
        <v>0</v>
      </c>
      <c r="AV30" s="113">
        <f t="shared" si="20"/>
        <v>0</v>
      </c>
      <c r="AW30" s="125">
        <f t="shared" si="21"/>
        <v>0</v>
      </c>
    </row>
    <row r="31" spans="1:49" ht="12.75" customHeight="1" x14ac:dyDescent="0.2">
      <c r="A31" s="56" t="s">
        <v>24</v>
      </c>
      <c r="B31" s="66" t="s">
        <v>52</v>
      </c>
      <c r="C31" s="219">
        <v>0</v>
      </c>
      <c r="D31" s="62"/>
      <c r="E31" s="62">
        <f t="shared" si="0"/>
        <v>0</v>
      </c>
      <c r="F31" s="106"/>
      <c r="G31" s="106"/>
      <c r="H31" s="106"/>
      <c r="I31" s="106">
        <f t="shared" si="1"/>
        <v>0</v>
      </c>
      <c r="J31" s="106"/>
      <c r="K31" s="166">
        <f t="shared" si="2"/>
        <v>0</v>
      </c>
      <c r="L31" s="219">
        <v>0</v>
      </c>
      <c r="M31" s="62"/>
      <c r="N31" s="62">
        <f t="shared" si="3"/>
        <v>0</v>
      </c>
      <c r="O31" s="106"/>
      <c r="P31" s="106"/>
      <c r="Q31" s="106"/>
      <c r="R31" s="166">
        <f t="shared" si="4"/>
        <v>0</v>
      </c>
      <c r="S31" s="219">
        <v>0</v>
      </c>
      <c r="T31" s="62"/>
      <c r="U31" s="62">
        <f t="shared" si="5"/>
        <v>0</v>
      </c>
      <c r="V31" s="106"/>
      <c r="W31" s="106"/>
      <c r="X31" s="106"/>
      <c r="Y31" s="106">
        <f t="shared" si="6"/>
        <v>0</v>
      </c>
      <c r="Z31" s="106"/>
      <c r="AA31" s="166">
        <f t="shared" si="7"/>
        <v>0</v>
      </c>
      <c r="AB31" s="219">
        <v>0</v>
      </c>
      <c r="AC31" s="62"/>
      <c r="AD31" s="62">
        <f t="shared" si="8"/>
        <v>0</v>
      </c>
      <c r="AE31" s="106"/>
      <c r="AF31" s="106"/>
      <c r="AG31" s="106"/>
      <c r="AH31" s="106">
        <f t="shared" si="9"/>
        <v>0</v>
      </c>
      <c r="AI31" s="106"/>
      <c r="AJ31" s="106">
        <f t="shared" si="10"/>
        <v>0</v>
      </c>
      <c r="AK31" s="106"/>
      <c r="AL31" s="166">
        <f t="shared" si="11"/>
        <v>0</v>
      </c>
      <c r="AM31" s="232">
        <f t="shared" si="12"/>
        <v>0</v>
      </c>
      <c r="AN31" s="112">
        <f t="shared" si="13"/>
        <v>0</v>
      </c>
      <c r="AO31" s="112">
        <f t="shared" si="14"/>
        <v>0</v>
      </c>
      <c r="AP31" s="113">
        <f t="shared" si="23"/>
        <v>0</v>
      </c>
      <c r="AQ31" s="113">
        <f t="shared" si="22"/>
        <v>0</v>
      </c>
      <c r="AR31" s="113">
        <f t="shared" si="16"/>
        <v>0</v>
      </c>
      <c r="AS31" s="113">
        <f t="shared" si="17"/>
        <v>0</v>
      </c>
      <c r="AT31" s="113">
        <f t="shared" si="18"/>
        <v>0</v>
      </c>
      <c r="AU31" s="113">
        <f t="shared" si="19"/>
        <v>0</v>
      </c>
      <c r="AV31" s="113">
        <f t="shared" si="20"/>
        <v>0</v>
      </c>
      <c r="AW31" s="125">
        <f t="shared" si="21"/>
        <v>0</v>
      </c>
    </row>
    <row r="32" spans="1:49" s="7" customFormat="1" ht="12.75" customHeight="1" x14ac:dyDescent="0.2">
      <c r="A32" s="56" t="s">
        <v>25</v>
      </c>
      <c r="B32" s="66" t="s">
        <v>53</v>
      </c>
      <c r="C32" s="219">
        <v>0</v>
      </c>
      <c r="D32" s="63"/>
      <c r="E32" s="62">
        <f t="shared" si="0"/>
        <v>0</v>
      </c>
      <c r="F32" s="106"/>
      <c r="G32" s="106"/>
      <c r="H32" s="106"/>
      <c r="I32" s="106">
        <f t="shared" si="1"/>
        <v>0</v>
      </c>
      <c r="J32" s="106"/>
      <c r="K32" s="166">
        <f t="shared" si="2"/>
        <v>0</v>
      </c>
      <c r="L32" s="219">
        <v>0</v>
      </c>
      <c r="M32" s="62"/>
      <c r="N32" s="62">
        <f t="shared" si="3"/>
        <v>0</v>
      </c>
      <c r="O32" s="106"/>
      <c r="P32" s="106"/>
      <c r="Q32" s="106"/>
      <c r="R32" s="166">
        <f t="shared" si="4"/>
        <v>0</v>
      </c>
      <c r="S32" s="219">
        <v>0</v>
      </c>
      <c r="T32" s="62"/>
      <c r="U32" s="62">
        <f t="shared" si="5"/>
        <v>0</v>
      </c>
      <c r="V32" s="106"/>
      <c r="W32" s="106"/>
      <c r="X32" s="106"/>
      <c r="Y32" s="106">
        <f t="shared" si="6"/>
        <v>0</v>
      </c>
      <c r="Z32" s="106"/>
      <c r="AA32" s="166">
        <f t="shared" si="7"/>
        <v>0</v>
      </c>
      <c r="AB32" s="219">
        <v>0</v>
      </c>
      <c r="AC32" s="62"/>
      <c r="AD32" s="62">
        <f t="shared" si="8"/>
        <v>0</v>
      </c>
      <c r="AE32" s="106"/>
      <c r="AF32" s="106"/>
      <c r="AG32" s="106"/>
      <c r="AH32" s="106">
        <f t="shared" si="9"/>
        <v>0</v>
      </c>
      <c r="AI32" s="106"/>
      <c r="AJ32" s="106">
        <f t="shared" si="10"/>
        <v>0</v>
      </c>
      <c r="AK32" s="106"/>
      <c r="AL32" s="166">
        <f t="shared" si="11"/>
        <v>0</v>
      </c>
      <c r="AM32" s="232">
        <f t="shared" si="12"/>
        <v>0</v>
      </c>
      <c r="AN32" s="112">
        <f t="shared" si="13"/>
        <v>0</v>
      </c>
      <c r="AO32" s="112">
        <f t="shared" si="14"/>
        <v>0</v>
      </c>
      <c r="AP32" s="113">
        <f t="shared" si="23"/>
        <v>0</v>
      </c>
      <c r="AQ32" s="113">
        <f t="shared" si="22"/>
        <v>0</v>
      </c>
      <c r="AR32" s="113">
        <f t="shared" si="16"/>
        <v>0</v>
      </c>
      <c r="AS32" s="113">
        <f t="shared" si="17"/>
        <v>0</v>
      </c>
      <c r="AT32" s="113">
        <f t="shared" si="18"/>
        <v>0</v>
      </c>
      <c r="AU32" s="113">
        <f t="shared" si="19"/>
        <v>0</v>
      </c>
      <c r="AV32" s="113">
        <f t="shared" si="20"/>
        <v>0</v>
      </c>
      <c r="AW32" s="125">
        <f t="shared" si="21"/>
        <v>0</v>
      </c>
    </row>
    <row r="33" spans="1:53" s="7" customFormat="1" ht="12.75" customHeight="1" x14ac:dyDescent="0.2">
      <c r="A33" s="55" t="s">
        <v>26</v>
      </c>
      <c r="B33" s="206" t="s">
        <v>54</v>
      </c>
      <c r="C33" s="220">
        <f>C30+C31+C32</f>
        <v>0</v>
      </c>
      <c r="D33" s="63"/>
      <c r="E33" s="62">
        <f t="shared" si="0"/>
        <v>0</v>
      </c>
      <c r="F33" s="106"/>
      <c r="G33" s="106"/>
      <c r="H33" s="106"/>
      <c r="I33" s="106">
        <f t="shared" si="1"/>
        <v>0</v>
      </c>
      <c r="J33" s="106"/>
      <c r="K33" s="166">
        <f t="shared" si="2"/>
        <v>0</v>
      </c>
      <c r="L33" s="220">
        <f>L30+L31+L32</f>
        <v>0</v>
      </c>
      <c r="M33" s="63"/>
      <c r="N33" s="62">
        <f t="shared" si="3"/>
        <v>0</v>
      </c>
      <c r="O33" s="106"/>
      <c r="P33" s="106"/>
      <c r="Q33" s="106"/>
      <c r="R33" s="166">
        <f t="shared" si="4"/>
        <v>0</v>
      </c>
      <c r="S33" s="220">
        <f>S30+S31+S32</f>
        <v>0</v>
      </c>
      <c r="T33" s="63"/>
      <c r="U33" s="62">
        <f t="shared" si="5"/>
        <v>0</v>
      </c>
      <c r="V33" s="106"/>
      <c r="W33" s="106"/>
      <c r="X33" s="106"/>
      <c r="Y33" s="106">
        <f t="shared" si="6"/>
        <v>0</v>
      </c>
      <c r="Z33" s="106"/>
      <c r="AA33" s="166">
        <f t="shared" si="7"/>
        <v>0</v>
      </c>
      <c r="AB33" s="220">
        <f>AB30+AB31+AB32</f>
        <v>0</v>
      </c>
      <c r="AC33" s="63"/>
      <c r="AD33" s="62">
        <f t="shared" si="8"/>
        <v>0</v>
      </c>
      <c r="AE33" s="106"/>
      <c r="AF33" s="106"/>
      <c r="AG33" s="106"/>
      <c r="AH33" s="106">
        <f t="shared" si="9"/>
        <v>0</v>
      </c>
      <c r="AI33" s="106"/>
      <c r="AJ33" s="106">
        <f t="shared" si="10"/>
        <v>0</v>
      </c>
      <c r="AK33" s="106"/>
      <c r="AL33" s="166">
        <f t="shared" si="11"/>
        <v>0</v>
      </c>
      <c r="AM33" s="234">
        <f t="shared" si="12"/>
        <v>0</v>
      </c>
      <c r="AN33" s="112">
        <f t="shared" si="13"/>
        <v>0</v>
      </c>
      <c r="AO33" s="114">
        <f t="shared" si="14"/>
        <v>0</v>
      </c>
      <c r="AP33" s="113">
        <f t="shared" si="23"/>
        <v>0</v>
      </c>
      <c r="AQ33" s="113">
        <f t="shared" si="22"/>
        <v>0</v>
      </c>
      <c r="AR33" s="113">
        <f t="shared" si="16"/>
        <v>0</v>
      </c>
      <c r="AS33" s="113">
        <f t="shared" si="17"/>
        <v>0</v>
      </c>
      <c r="AT33" s="113">
        <f t="shared" si="18"/>
        <v>0</v>
      </c>
      <c r="AU33" s="113">
        <f t="shared" si="19"/>
        <v>0</v>
      </c>
      <c r="AV33" s="113">
        <f t="shared" si="20"/>
        <v>0</v>
      </c>
      <c r="AW33" s="125">
        <f t="shared" si="21"/>
        <v>0</v>
      </c>
    </row>
    <row r="34" spans="1:53" s="7" customFormat="1" ht="12.75" customHeight="1" x14ac:dyDescent="0.2">
      <c r="A34" s="55" t="s">
        <v>27</v>
      </c>
      <c r="B34" s="206" t="s">
        <v>74</v>
      </c>
      <c r="C34" s="220">
        <f>C35+C36+C37</f>
        <v>104683617</v>
      </c>
      <c r="D34" s="63"/>
      <c r="E34" s="62">
        <f t="shared" si="0"/>
        <v>104683617</v>
      </c>
      <c r="F34" s="106">
        <v>-294</v>
      </c>
      <c r="G34" s="106">
        <v>104390</v>
      </c>
      <c r="H34" s="106">
        <v>-362</v>
      </c>
      <c r="I34" s="106">
        <f t="shared" si="1"/>
        <v>104028</v>
      </c>
      <c r="J34" s="106">
        <v>2541</v>
      </c>
      <c r="K34" s="166">
        <f t="shared" si="2"/>
        <v>106569</v>
      </c>
      <c r="L34" s="220">
        <v>3573767</v>
      </c>
      <c r="M34" s="63"/>
      <c r="N34" s="62">
        <f t="shared" si="3"/>
        <v>3573767</v>
      </c>
      <c r="O34" s="106">
        <v>-25</v>
      </c>
      <c r="P34" s="106">
        <v>3549</v>
      </c>
      <c r="Q34" s="106">
        <v>-395</v>
      </c>
      <c r="R34" s="166">
        <f t="shared" si="4"/>
        <v>3154</v>
      </c>
      <c r="S34" s="227">
        <f t="shared" ref="S34:AM34" si="24">S35+S36+S37</f>
        <v>11710</v>
      </c>
      <c r="T34" s="63">
        <f>SUM(T35:T37)</f>
        <v>465000</v>
      </c>
      <c r="U34" s="106">
        <v>12175</v>
      </c>
      <c r="V34" s="106">
        <v>-67</v>
      </c>
      <c r="W34" s="106">
        <v>12108</v>
      </c>
      <c r="X34" s="106">
        <v>-216</v>
      </c>
      <c r="Y34" s="106">
        <f t="shared" si="6"/>
        <v>11892</v>
      </c>
      <c r="Z34" s="106">
        <v>563</v>
      </c>
      <c r="AA34" s="166">
        <f t="shared" si="7"/>
        <v>12455</v>
      </c>
      <c r="AB34" s="227">
        <v>23297</v>
      </c>
      <c r="AC34" s="63">
        <v>204000</v>
      </c>
      <c r="AD34" s="106">
        <v>23501</v>
      </c>
      <c r="AE34" s="106">
        <v>466</v>
      </c>
      <c r="AF34" s="106">
        <v>23967</v>
      </c>
      <c r="AG34" s="106">
        <v>877</v>
      </c>
      <c r="AH34" s="106">
        <f t="shared" si="9"/>
        <v>24844</v>
      </c>
      <c r="AI34" s="106">
        <v>114</v>
      </c>
      <c r="AJ34" s="106">
        <f t="shared" si="10"/>
        <v>24958</v>
      </c>
      <c r="AK34" s="106">
        <v>-839</v>
      </c>
      <c r="AL34" s="166">
        <f t="shared" si="11"/>
        <v>24119</v>
      </c>
      <c r="AM34" s="233">
        <f t="shared" si="24"/>
        <v>143264</v>
      </c>
      <c r="AN34" s="112">
        <f t="shared" si="13"/>
        <v>669000</v>
      </c>
      <c r="AO34" s="114">
        <v>143934</v>
      </c>
      <c r="AP34" s="113">
        <f t="shared" si="23"/>
        <v>80</v>
      </c>
      <c r="AQ34" s="113">
        <f t="shared" si="22"/>
        <v>144014</v>
      </c>
      <c r="AR34" s="113">
        <f t="shared" si="16"/>
        <v>299</v>
      </c>
      <c r="AS34" s="113">
        <f t="shared" si="17"/>
        <v>144313</v>
      </c>
      <c r="AT34" s="113">
        <f t="shared" si="18"/>
        <v>114</v>
      </c>
      <c r="AU34" s="113">
        <f t="shared" si="19"/>
        <v>144427</v>
      </c>
      <c r="AV34" s="113">
        <f t="shared" si="20"/>
        <v>1870</v>
      </c>
      <c r="AW34" s="125">
        <f t="shared" si="21"/>
        <v>146297</v>
      </c>
    </row>
    <row r="35" spans="1:53" s="7" customFormat="1" ht="12.75" customHeight="1" x14ac:dyDescent="0.2">
      <c r="A35" s="56" t="s">
        <v>28</v>
      </c>
      <c r="B35" s="79" t="s">
        <v>75</v>
      </c>
      <c r="C35" s="221">
        <v>104683617</v>
      </c>
      <c r="D35" s="64"/>
      <c r="E35" s="62">
        <f t="shared" si="0"/>
        <v>104683617</v>
      </c>
      <c r="F35" s="106">
        <v>-294</v>
      </c>
      <c r="G35" s="106">
        <v>104390</v>
      </c>
      <c r="H35" s="106">
        <v>-362</v>
      </c>
      <c r="I35" s="106">
        <f t="shared" si="1"/>
        <v>104028</v>
      </c>
      <c r="J35" s="106">
        <v>2541</v>
      </c>
      <c r="K35" s="166">
        <f t="shared" si="2"/>
        <v>106569</v>
      </c>
      <c r="L35" s="221">
        <v>3573767</v>
      </c>
      <c r="M35" s="64"/>
      <c r="N35" s="62">
        <f t="shared" si="3"/>
        <v>3573767</v>
      </c>
      <c r="O35" s="106">
        <v>-25</v>
      </c>
      <c r="P35" s="106">
        <v>3549</v>
      </c>
      <c r="Q35" s="106">
        <v>-395</v>
      </c>
      <c r="R35" s="166">
        <f t="shared" si="4"/>
        <v>3154</v>
      </c>
      <c r="S35" s="228">
        <v>11710</v>
      </c>
      <c r="T35" s="64"/>
      <c r="U35" s="106">
        <f t="shared" si="5"/>
        <v>11710</v>
      </c>
      <c r="V35" s="106">
        <v>-67</v>
      </c>
      <c r="W35" s="106">
        <v>11643</v>
      </c>
      <c r="X35" s="106">
        <v>-216</v>
      </c>
      <c r="Y35" s="106">
        <f t="shared" si="6"/>
        <v>11427</v>
      </c>
      <c r="Z35" s="106">
        <v>563</v>
      </c>
      <c r="AA35" s="166">
        <f t="shared" si="7"/>
        <v>11990</v>
      </c>
      <c r="AB35" s="228">
        <v>23297</v>
      </c>
      <c r="AC35" s="64">
        <v>204000</v>
      </c>
      <c r="AD35" s="106">
        <v>23501</v>
      </c>
      <c r="AE35" s="106">
        <v>466</v>
      </c>
      <c r="AF35" s="106">
        <v>23967</v>
      </c>
      <c r="AG35" s="106">
        <v>877</v>
      </c>
      <c r="AH35" s="106">
        <f t="shared" si="9"/>
        <v>24844</v>
      </c>
      <c r="AI35" s="106">
        <v>114</v>
      </c>
      <c r="AJ35" s="106">
        <f t="shared" si="10"/>
        <v>24958</v>
      </c>
      <c r="AK35" s="106">
        <v>-839</v>
      </c>
      <c r="AL35" s="166">
        <f t="shared" si="11"/>
        <v>24119</v>
      </c>
      <c r="AM35" s="235">
        <v>143264</v>
      </c>
      <c r="AN35" s="112">
        <f t="shared" si="13"/>
        <v>204000</v>
      </c>
      <c r="AO35" s="114">
        <v>143468</v>
      </c>
      <c r="AP35" s="113">
        <f t="shared" si="23"/>
        <v>80</v>
      </c>
      <c r="AQ35" s="113">
        <f t="shared" si="22"/>
        <v>143548</v>
      </c>
      <c r="AR35" s="113">
        <f t="shared" si="16"/>
        <v>299</v>
      </c>
      <c r="AS35" s="113">
        <f t="shared" si="17"/>
        <v>143847</v>
      </c>
      <c r="AT35" s="113">
        <f t="shared" si="18"/>
        <v>114</v>
      </c>
      <c r="AU35" s="113">
        <f t="shared" si="19"/>
        <v>143961</v>
      </c>
      <c r="AV35" s="113">
        <f t="shared" si="20"/>
        <v>1870</v>
      </c>
      <c r="AW35" s="125">
        <f t="shared" si="21"/>
        <v>145831</v>
      </c>
    </row>
    <row r="36" spans="1:53" ht="12.75" customHeight="1" x14ac:dyDescent="0.2">
      <c r="A36" s="56" t="s">
        <v>29</v>
      </c>
      <c r="B36" s="79" t="s">
        <v>81</v>
      </c>
      <c r="C36" s="221">
        <v>0</v>
      </c>
      <c r="D36" s="64"/>
      <c r="E36" s="62">
        <f t="shared" si="0"/>
        <v>0</v>
      </c>
      <c r="F36" s="106"/>
      <c r="G36" s="106"/>
      <c r="H36" s="106"/>
      <c r="I36" s="106">
        <f t="shared" si="1"/>
        <v>0</v>
      </c>
      <c r="J36" s="106"/>
      <c r="K36" s="166">
        <f t="shared" si="2"/>
        <v>0</v>
      </c>
      <c r="L36" s="221">
        <v>0</v>
      </c>
      <c r="M36" s="64"/>
      <c r="N36" s="62">
        <f t="shared" si="3"/>
        <v>0</v>
      </c>
      <c r="O36" s="106"/>
      <c r="P36" s="106"/>
      <c r="Q36" s="106"/>
      <c r="R36" s="166">
        <f t="shared" si="4"/>
        <v>0</v>
      </c>
      <c r="S36" s="228">
        <v>0</v>
      </c>
      <c r="T36" s="64">
        <v>465000</v>
      </c>
      <c r="U36" s="106">
        <v>465</v>
      </c>
      <c r="V36" s="106"/>
      <c r="W36" s="106">
        <v>465</v>
      </c>
      <c r="X36" s="106"/>
      <c r="Y36" s="106">
        <f t="shared" si="6"/>
        <v>465</v>
      </c>
      <c r="Z36" s="106"/>
      <c r="AA36" s="166">
        <f t="shared" si="7"/>
        <v>465</v>
      </c>
      <c r="AB36" s="228">
        <v>0</v>
      </c>
      <c r="AC36" s="64"/>
      <c r="AD36" s="106">
        <f t="shared" si="8"/>
        <v>0</v>
      </c>
      <c r="AE36" s="106"/>
      <c r="AF36" s="106"/>
      <c r="AG36" s="106"/>
      <c r="AH36" s="106">
        <f t="shared" si="9"/>
        <v>0</v>
      </c>
      <c r="AI36" s="106"/>
      <c r="AJ36" s="106">
        <f t="shared" si="10"/>
        <v>0</v>
      </c>
      <c r="AK36" s="106"/>
      <c r="AL36" s="166">
        <f t="shared" si="11"/>
        <v>0</v>
      </c>
      <c r="AM36" s="235">
        <f t="shared" si="12"/>
        <v>0</v>
      </c>
      <c r="AN36" s="112">
        <f t="shared" si="13"/>
        <v>465000</v>
      </c>
      <c r="AO36" s="114">
        <v>465</v>
      </c>
      <c r="AP36" s="113">
        <f t="shared" si="23"/>
        <v>0</v>
      </c>
      <c r="AQ36" s="113">
        <f t="shared" si="22"/>
        <v>465</v>
      </c>
      <c r="AR36" s="113">
        <f t="shared" si="16"/>
        <v>0</v>
      </c>
      <c r="AS36" s="113">
        <f t="shared" si="17"/>
        <v>465</v>
      </c>
      <c r="AT36" s="113">
        <f t="shared" si="18"/>
        <v>0</v>
      </c>
      <c r="AU36" s="113">
        <f t="shared" si="19"/>
        <v>465</v>
      </c>
      <c r="AV36" s="113">
        <f t="shared" si="20"/>
        <v>0</v>
      </c>
      <c r="AW36" s="125">
        <f t="shared" si="21"/>
        <v>465</v>
      </c>
    </row>
    <row r="37" spans="1:53" ht="12.75" customHeight="1" x14ac:dyDescent="0.2">
      <c r="A37" s="56" t="s">
        <v>30</v>
      </c>
      <c r="B37" s="79" t="s">
        <v>76</v>
      </c>
      <c r="C37" s="221">
        <v>0</v>
      </c>
      <c r="D37" s="64"/>
      <c r="E37" s="62">
        <f t="shared" si="0"/>
        <v>0</v>
      </c>
      <c r="F37" s="106"/>
      <c r="G37" s="106"/>
      <c r="H37" s="106"/>
      <c r="I37" s="106">
        <f t="shared" si="1"/>
        <v>0</v>
      </c>
      <c r="J37" s="106"/>
      <c r="K37" s="166">
        <f t="shared" si="2"/>
        <v>0</v>
      </c>
      <c r="L37" s="221">
        <v>0</v>
      </c>
      <c r="M37" s="64"/>
      <c r="N37" s="62">
        <f t="shared" si="3"/>
        <v>0</v>
      </c>
      <c r="O37" s="106"/>
      <c r="P37" s="106"/>
      <c r="Q37" s="106"/>
      <c r="R37" s="166">
        <f t="shared" si="4"/>
        <v>0</v>
      </c>
      <c r="S37" s="228">
        <v>0</v>
      </c>
      <c r="T37" s="64"/>
      <c r="U37" s="106">
        <f t="shared" si="5"/>
        <v>0</v>
      </c>
      <c r="V37" s="106"/>
      <c r="W37" s="106"/>
      <c r="X37" s="106"/>
      <c r="Y37" s="106">
        <f t="shared" si="6"/>
        <v>0</v>
      </c>
      <c r="Z37" s="106"/>
      <c r="AA37" s="166">
        <f t="shared" si="7"/>
        <v>0</v>
      </c>
      <c r="AB37" s="228">
        <v>0</v>
      </c>
      <c r="AC37" s="64"/>
      <c r="AD37" s="106">
        <f t="shared" si="8"/>
        <v>0</v>
      </c>
      <c r="AE37" s="106"/>
      <c r="AF37" s="106"/>
      <c r="AG37" s="106"/>
      <c r="AH37" s="106">
        <f t="shared" si="9"/>
        <v>0</v>
      </c>
      <c r="AI37" s="106"/>
      <c r="AJ37" s="106">
        <f t="shared" si="10"/>
        <v>0</v>
      </c>
      <c r="AK37" s="106"/>
      <c r="AL37" s="166">
        <f t="shared" si="11"/>
        <v>0</v>
      </c>
      <c r="AM37" s="235">
        <f t="shared" si="12"/>
        <v>0</v>
      </c>
      <c r="AN37" s="112">
        <f t="shared" si="13"/>
        <v>0</v>
      </c>
      <c r="AO37" s="114">
        <f t="shared" si="14"/>
        <v>0</v>
      </c>
      <c r="AP37" s="113">
        <f t="shared" si="23"/>
        <v>0</v>
      </c>
      <c r="AQ37" s="113">
        <f t="shared" si="22"/>
        <v>0</v>
      </c>
      <c r="AR37" s="113">
        <f t="shared" si="16"/>
        <v>0</v>
      </c>
      <c r="AS37" s="113">
        <f t="shared" si="17"/>
        <v>0</v>
      </c>
      <c r="AT37" s="113">
        <f t="shared" si="18"/>
        <v>0</v>
      </c>
      <c r="AU37" s="113">
        <f t="shared" si="19"/>
        <v>0</v>
      </c>
      <c r="AV37" s="113">
        <f t="shared" si="20"/>
        <v>0</v>
      </c>
      <c r="AW37" s="125">
        <f t="shared" si="21"/>
        <v>0</v>
      </c>
    </row>
    <row r="38" spans="1:53" s="7" customFormat="1" ht="12.75" customHeight="1" thickBot="1" x14ac:dyDescent="0.25">
      <c r="A38" s="107" t="s">
        <v>31</v>
      </c>
      <c r="B38" s="216" t="s">
        <v>56</v>
      </c>
      <c r="C38" s="220">
        <f>C34+C33+C29</f>
        <v>104683617</v>
      </c>
      <c r="D38" s="63"/>
      <c r="E38" s="62">
        <f t="shared" si="0"/>
        <v>104683617</v>
      </c>
      <c r="F38" s="106">
        <v>-294</v>
      </c>
      <c r="G38" s="106">
        <v>104390</v>
      </c>
      <c r="H38" s="106">
        <v>-362</v>
      </c>
      <c r="I38" s="106">
        <f t="shared" si="1"/>
        <v>104028</v>
      </c>
      <c r="J38" s="106">
        <v>2541</v>
      </c>
      <c r="K38" s="166">
        <f t="shared" si="2"/>
        <v>106569</v>
      </c>
      <c r="L38" s="220">
        <f>L34+L33+L29</f>
        <v>3573767</v>
      </c>
      <c r="M38" s="63"/>
      <c r="N38" s="62">
        <f t="shared" si="3"/>
        <v>3573767</v>
      </c>
      <c r="O38" s="106">
        <v>-25</v>
      </c>
      <c r="P38" s="106">
        <v>3549</v>
      </c>
      <c r="Q38" s="106">
        <v>-395</v>
      </c>
      <c r="R38" s="166">
        <f t="shared" si="4"/>
        <v>3154</v>
      </c>
      <c r="S38" s="227">
        <f>S34+S33+S29</f>
        <v>11710</v>
      </c>
      <c r="T38" s="109">
        <v>465</v>
      </c>
      <c r="U38" s="106">
        <v>12175</v>
      </c>
      <c r="V38" s="106">
        <v>-67</v>
      </c>
      <c r="W38" s="106">
        <v>12108</v>
      </c>
      <c r="X38" s="106">
        <v>-216</v>
      </c>
      <c r="Y38" s="106">
        <f t="shared" si="6"/>
        <v>11892</v>
      </c>
      <c r="Z38" s="106">
        <v>563</v>
      </c>
      <c r="AA38" s="166">
        <f t="shared" si="7"/>
        <v>12455</v>
      </c>
      <c r="AB38" s="227">
        <f>AB34+AB33+AB29</f>
        <v>23297</v>
      </c>
      <c r="AC38" s="63"/>
      <c r="AD38" s="106">
        <v>23501</v>
      </c>
      <c r="AE38" s="106">
        <v>466</v>
      </c>
      <c r="AF38" s="106">
        <v>23967</v>
      </c>
      <c r="AG38" s="106">
        <v>877</v>
      </c>
      <c r="AH38" s="106">
        <f t="shared" si="9"/>
        <v>24844</v>
      </c>
      <c r="AI38" s="106">
        <v>114</v>
      </c>
      <c r="AJ38" s="106">
        <f t="shared" si="10"/>
        <v>24958</v>
      </c>
      <c r="AK38" s="106">
        <v>-839</v>
      </c>
      <c r="AL38" s="166">
        <f t="shared" si="11"/>
        <v>24119</v>
      </c>
      <c r="AM38" s="233">
        <v>143264</v>
      </c>
      <c r="AN38" s="112">
        <f>SUM(AN34)</f>
        <v>669000</v>
      </c>
      <c r="AO38" s="114">
        <v>143934</v>
      </c>
      <c r="AP38" s="113">
        <f t="shared" si="23"/>
        <v>80</v>
      </c>
      <c r="AQ38" s="113">
        <f t="shared" si="22"/>
        <v>144014</v>
      </c>
      <c r="AR38" s="113">
        <f t="shared" si="16"/>
        <v>299</v>
      </c>
      <c r="AS38" s="113">
        <f t="shared" si="17"/>
        <v>144313</v>
      </c>
      <c r="AT38" s="113">
        <f t="shared" si="18"/>
        <v>114</v>
      </c>
      <c r="AU38" s="113">
        <f t="shared" si="19"/>
        <v>144427</v>
      </c>
      <c r="AV38" s="113">
        <f t="shared" si="20"/>
        <v>1870</v>
      </c>
      <c r="AW38" s="125">
        <f t="shared" si="21"/>
        <v>146297</v>
      </c>
    </row>
    <row r="39" spans="1:53" ht="12.75" customHeight="1" thickBot="1" x14ac:dyDescent="0.25">
      <c r="A39" s="108" t="s">
        <v>32</v>
      </c>
      <c r="B39" s="217" t="s">
        <v>33</v>
      </c>
      <c r="C39" s="222">
        <v>27</v>
      </c>
      <c r="D39" s="223">
        <v>1</v>
      </c>
      <c r="E39" s="224">
        <v>28</v>
      </c>
      <c r="F39" s="225"/>
      <c r="G39" s="225">
        <v>28</v>
      </c>
      <c r="H39" s="225"/>
      <c r="I39" s="225">
        <f t="shared" si="1"/>
        <v>28</v>
      </c>
      <c r="J39" s="225">
        <v>-1</v>
      </c>
      <c r="K39" s="166">
        <f t="shared" si="2"/>
        <v>27</v>
      </c>
      <c r="L39" s="229">
        <v>0</v>
      </c>
      <c r="M39" s="230"/>
      <c r="N39" s="230"/>
      <c r="O39" s="225"/>
      <c r="P39" s="225"/>
      <c r="Q39" s="225"/>
      <c r="R39" s="166">
        <f t="shared" si="4"/>
        <v>0</v>
      </c>
      <c r="S39" s="229">
        <v>0</v>
      </c>
      <c r="T39" s="230"/>
      <c r="U39" s="230">
        <f t="shared" si="5"/>
        <v>0</v>
      </c>
      <c r="V39" s="225"/>
      <c r="W39" s="225"/>
      <c r="X39" s="225"/>
      <c r="Y39" s="225">
        <f t="shared" si="6"/>
        <v>0</v>
      </c>
      <c r="Z39" s="225"/>
      <c r="AA39" s="166">
        <f t="shared" si="7"/>
        <v>0</v>
      </c>
      <c r="AB39" s="222">
        <v>6</v>
      </c>
      <c r="AC39" s="230"/>
      <c r="AD39" s="223">
        <f t="shared" si="8"/>
        <v>6</v>
      </c>
      <c r="AE39" s="225"/>
      <c r="AF39" s="225"/>
      <c r="AG39" s="225"/>
      <c r="AH39" s="225">
        <f t="shared" si="9"/>
        <v>0</v>
      </c>
      <c r="AI39" s="225"/>
      <c r="AJ39" s="225">
        <v>6</v>
      </c>
      <c r="AK39" s="225"/>
      <c r="AL39" s="166">
        <f t="shared" si="11"/>
        <v>6</v>
      </c>
      <c r="AM39" s="236">
        <f>C39+AB39</f>
        <v>33</v>
      </c>
      <c r="AN39" s="237">
        <v>1</v>
      </c>
      <c r="AO39" s="237">
        <f t="shared" si="14"/>
        <v>34</v>
      </c>
      <c r="AP39" s="169">
        <f t="shared" si="23"/>
        <v>0</v>
      </c>
      <c r="AQ39" s="169">
        <v>34</v>
      </c>
      <c r="AR39" s="169">
        <f t="shared" si="16"/>
        <v>0</v>
      </c>
      <c r="AS39" s="169">
        <f t="shared" si="17"/>
        <v>34</v>
      </c>
      <c r="AT39" s="169">
        <f t="shared" si="18"/>
        <v>0</v>
      </c>
      <c r="AU39" s="169">
        <f t="shared" si="19"/>
        <v>34</v>
      </c>
      <c r="AV39" s="113">
        <f t="shared" si="20"/>
        <v>-1</v>
      </c>
      <c r="AW39" s="125">
        <f t="shared" si="21"/>
        <v>33</v>
      </c>
    </row>
    <row r="40" spans="1:53" ht="10.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53" ht="10.5" customHeight="1" x14ac:dyDescent="0.2"/>
    <row r="42" spans="1:53" ht="10.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53" ht="12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53" x14ac:dyDescent="0.2">
      <c r="B44" s="2"/>
      <c r="C44" s="4"/>
      <c r="D44" s="4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</row>
    <row r="45" spans="1:53" ht="138" customHeight="1" x14ac:dyDescent="0.2">
      <c r="B45" s="2"/>
      <c r="C45" s="4"/>
      <c r="D45" s="4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53" x14ac:dyDescent="0.2">
      <c r="B46" s="2"/>
      <c r="C46" s="4"/>
      <c r="D46" s="4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53" x14ac:dyDescent="0.2">
      <c r="B47" s="2"/>
      <c r="C47" s="4"/>
      <c r="D47" s="4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53" x14ac:dyDescent="0.2">
      <c r="B48" s="2"/>
      <c r="C48" s="4"/>
      <c r="D48" s="4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2:53" x14ac:dyDescent="0.2">
      <c r="B49" s="2"/>
      <c r="C49" s="4"/>
      <c r="D49" s="4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2:53" x14ac:dyDescent="0.2">
      <c r="B50" s="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2:53" x14ac:dyDescent="0.2">
      <c r="B51" s="2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2:53" x14ac:dyDescent="0.2">
      <c r="B52" s="2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2:53" x14ac:dyDescent="0.2">
      <c r="B53" s="2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2:53" x14ac:dyDescent="0.2"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2:53" x14ac:dyDescent="0.2">
      <c r="S55" s="8"/>
    </row>
    <row r="56" spans="2:53" x14ac:dyDescent="0.2">
      <c r="S56" s="8"/>
    </row>
    <row r="57" spans="2:53" x14ac:dyDescent="0.2">
      <c r="S57" s="8"/>
    </row>
    <row r="58" spans="2:53" x14ac:dyDescent="0.2">
      <c r="S58" s="8"/>
    </row>
    <row r="59" spans="2:53" x14ac:dyDescent="0.2">
      <c r="S59" s="8"/>
    </row>
    <row r="60" spans="2:53" x14ac:dyDescent="0.2">
      <c r="S60" s="8"/>
    </row>
    <row r="61" spans="2:53" x14ac:dyDescent="0.2">
      <c r="S61" s="8"/>
    </row>
    <row r="62" spans="2:53" x14ac:dyDescent="0.2">
      <c r="S62" s="8"/>
    </row>
  </sheetData>
  <mergeCells count="58">
    <mergeCell ref="V5:V6"/>
    <mergeCell ref="U5:U6"/>
    <mergeCell ref="A23:B23"/>
    <mergeCell ref="A8:B8"/>
    <mergeCell ref="B1:S1"/>
    <mergeCell ref="A3:B6"/>
    <mergeCell ref="T5:T6"/>
    <mergeCell ref="F5:F6"/>
    <mergeCell ref="O5:O6"/>
    <mergeCell ref="P5:P6"/>
    <mergeCell ref="H5:H6"/>
    <mergeCell ref="A7:B7"/>
    <mergeCell ref="E5:E6"/>
    <mergeCell ref="S5:S6"/>
    <mergeCell ref="D5:D6"/>
    <mergeCell ref="C5:C6"/>
    <mergeCell ref="AA5:AA6"/>
    <mergeCell ref="I5:I6"/>
    <mergeCell ref="C3:AU3"/>
    <mergeCell ref="AI5:AI6"/>
    <mergeCell ref="AJ5:AJ6"/>
    <mergeCell ref="AT5:AT6"/>
    <mergeCell ref="AU5:AU6"/>
    <mergeCell ref="AP5:AP6"/>
    <mergeCell ref="AB5:AB6"/>
    <mergeCell ref="AN5:AN6"/>
    <mergeCell ref="AO5:AO6"/>
    <mergeCell ref="AC5:AC6"/>
    <mergeCell ref="AD5:AD6"/>
    <mergeCell ref="AE5:AE6"/>
    <mergeCell ref="AF5:AF6"/>
    <mergeCell ref="W5:W6"/>
    <mergeCell ref="C4:K4"/>
    <mergeCell ref="J5:J6"/>
    <mergeCell ref="K5:K6"/>
    <mergeCell ref="L4:R4"/>
    <mergeCell ref="Q5:Q6"/>
    <mergeCell ref="R5:R6"/>
    <mergeCell ref="L5:L6"/>
    <mergeCell ref="M5:M6"/>
    <mergeCell ref="N5:N6"/>
    <mergeCell ref="G5:G6"/>
    <mergeCell ref="AB4:AL4"/>
    <mergeCell ref="AK5:AK6"/>
    <mergeCell ref="AL5:AL6"/>
    <mergeCell ref="AS5:AS6"/>
    <mergeCell ref="X5:X6"/>
    <mergeCell ref="Y5:Y6"/>
    <mergeCell ref="AG5:AG6"/>
    <mergeCell ref="AH5:AH6"/>
    <mergeCell ref="AQ5:AQ6"/>
    <mergeCell ref="AM5:AM6"/>
    <mergeCell ref="AR5:AR6"/>
    <mergeCell ref="AM4:AW4"/>
    <mergeCell ref="AV5:AV6"/>
    <mergeCell ref="AW5:AW6"/>
    <mergeCell ref="S4:AA4"/>
    <mergeCell ref="Z5:Z6"/>
  </mergeCells>
  <phoneticPr fontId="2" type="noConversion"/>
  <printOptions horizontalCentered="1"/>
  <pageMargins left="0.55118110236220474" right="0.27559055118110237" top="0.47244094488188981" bottom="0.27559055118110237" header="0.27559055118110237" footer="0.15748031496062992"/>
  <pageSetup paperSize="9" scale="30" firstPageNumber="0" orientation="landscape" r:id="rId1"/>
  <headerFooter alignWithMargins="0">
    <oddHeader>&amp;CAbonyi Szivárvány Óvoda és Bölcsőde&amp;R3. sz. melléklet</oddHeader>
    <oddFooter>&amp;R&amp;A</oddFooter>
  </headerFooter>
  <rowBreaks count="1" manualBreakCount="1">
    <brk id="45" max="22" man="1"/>
  </rowBreaks>
  <colBreaks count="1" manualBreakCount="1">
    <brk id="48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39"/>
  <sheetViews>
    <sheetView zoomScale="85" zoomScaleNormal="85" zoomScaleSheetLayoutView="70" workbookViewId="0">
      <pane xSplit="2" ySplit="7" topLeftCell="AE20" activePane="bottomRight" state="frozen"/>
      <selection pane="topRight" activeCell="C1" sqref="C1"/>
      <selection pane="bottomLeft" activeCell="A8" sqref="A8"/>
      <selection pane="bottomRight" activeCell="AI39" sqref="AI39"/>
    </sheetView>
  </sheetViews>
  <sheetFormatPr defaultRowHeight="12.75" x14ac:dyDescent="0.2"/>
  <cols>
    <col min="1" max="1" width="3.140625" bestFit="1" customWidth="1"/>
    <col min="2" max="2" width="41.42578125" style="57" customWidth="1"/>
    <col min="3" max="3" width="13.85546875" customWidth="1"/>
    <col min="4" max="4" width="10.28515625" customWidth="1"/>
    <col min="5" max="16" width="11" customWidth="1"/>
    <col min="17" max="17" width="12.7109375" customWidth="1"/>
    <col min="19" max="25" width="9.85546875" customWidth="1"/>
    <col min="26" max="26" width="12" customWidth="1"/>
    <col min="37" max="37" width="11.7109375" style="8" customWidth="1"/>
    <col min="39" max="39" width="9.85546875" customWidth="1"/>
  </cols>
  <sheetData>
    <row r="1" spans="1:47" ht="13.5" thickBot="1" x14ac:dyDescent="0.25"/>
    <row r="2" spans="1:47" ht="13.5" thickBot="1" x14ac:dyDescent="0.25">
      <c r="B2" s="335"/>
      <c r="AM2" s="2" t="s">
        <v>0</v>
      </c>
    </row>
    <row r="3" spans="1:47" ht="13.5" thickBot="1" x14ac:dyDescent="0.25">
      <c r="A3" s="577" t="s">
        <v>1</v>
      </c>
      <c r="B3" s="596"/>
      <c r="C3" s="593" t="s">
        <v>67</v>
      </c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594"/>
      <c r="AC3" s="594"/>
      <c r="AD3" s="594"/>
      <c r="AE3" s="594"/>
      <c r="AF3" s="594"/>
      <c r="AG3" s="594"/>
      <c r="AH3" s="594"/>
      <c r="AI3" s="594"/>
      <c r="AJ3" s="594"/>
      <c r="AK3" s="594"/>
      <c r="AL3" s="594"/>
      <c r="AM3" s="595"/>
    </row>
    <row r="4" spans="1:47" ht="40.5" customHeight="1" x14ac:dyDescent="0.2">
      <c r="A4" s="579"/>
      <c r="B4" s="597"/>
      <c r="C4" s="537" t="s">
        <v>146</v>
      </c>
      <c r="D4" s="537"/>
      <c r="E4" s="537"/>
      <c r="F4" s="537"/>
      <c r="G4" s="537"/>
      <c r="H4" s="537"/>
      <c r="I4" s="537"/>
      <c r="J4" s="537"/>
      <c r="K4" s="537"/>
      <c r="L4" s="551" t="s">
        <v>116</v>
      </c>
      <c r="M4" s="552"/>
      <c r="N4" s="552"/>
      <c r="O4" s="552"/>
      <c r="P4" s="552"/>
      <c r="Q4" s="536" t="s">
        <v>95</v>
      </c>
      <c r="R4" s="537"/>
      <c r="S4" s="537"/>
      <c r="T4" s="537"/>
      <c r="U4" s="537"/>
      <c r="V4" s="537"/>
      <c r="W4" s="537"/>
      <c r="X4" s="537"/>
      <c r="Y4" s="537"/>
      <c r="Z4" s="536" t="s">
        <v>147</v>
      </c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81" t="s">
        <v>63</v>
      </c>
      <c r="AL4" s="582"/>
      <c r="AM4" s="582"/>
      <c r="AN4" s="582"/>
      <c r="AO4" s="582"/>
      <c r="AP4" s="582"/>
      <c r="AQ4" s="582"/>
      <c r="AR4" s="582"/>
      <c r="AS4" s="582"/>
      <c r="AT4" s="582"/>
      <c r="AU4" s="583"/>
    </row>
    <row r="5" spans="1:47" x14ac:dyDescent="0.2">
      <c r="A5" s="579"/>
      <c r="B5" s="597"/>
      <c r="C5" s="472" t="s">
        <v>36</v>
      </c>
      <c r="D5" s="451" t="s">
        <v>129</v>
      </c>
      <c r="E5" s="451" t="s">
        <v>130</v>
      </c>
      <c r="F5" s="451" t="s">
        <v>144</v>
      </c>
      <c r="G5" s="451" t="s">
        <v>145</v>
      </c>
      <c r="H5" s="451" t="s">
        <v>174</v>
      </c>
      <c r="I5" s="451" t="s">
        <v>175</v>
      </c>
      <c r="J5" s="464" t="s">
        <v>176</v>
      </c>
      <c r="K5" s="466" t="s">
        <v>177</v>
      </c>
      <c r="L5" s="450" t="s">
        <v>36</v>
      </c>
      <c r="M5" s="451" t="s">
        <v>129</v>
      </c>
      <c r="N5" s="451" t="s">
        <v>175</v>
      </c>
      <c r="O5" s="464" t="s">
        <v>176</v>
      </c>
      <c r="P5" s="466" t="s">
        <v>177</v>
      </c>
      <c r="Q5" s="450" t="s">
        <v>36</v>
      </c>
      <c r="R5" s="451" t="s">
        <v>129</v>
      </c>
      <c r="S5" s="451" t="s">
        <v>130</v>
      </c>
      <c r="T5" s="451" t="s">
        <v>144</v>
      </c>
      <c r="U5" s="451" t="s">
        <v>145</v>
      </c>
      <c r="V5" s="451" t="s">
        <v>167</v>
      </c>
      <c r="W5" s="451" t="s">
        <v>175</v>
      </c>
      <c r="X5" s="464" t="s">
        <v>176</v>
      </c>
      <c r="Y5" s="466" t="s">
        <v>177</v>
      </c>
      <c r="Z5" s="450" t="s">
        <v>36</v>
      </c>
      <c r="AA5" s="451" t="s">
        <v>129</v>
      </c>
      <c r="AB5" s="451" t="s">
        <v>130</v>
      </c>
      <c r="AC5" s="451" t="s">
        <v>144</v>
      </c>
      <c r="AD5" s="451" t="s">
        <v>145</v>
      </c>
      <c r="AE5" s="451" t="s">
        <v>167</v>
      </c>
      <c r="AF5" s="451" t="s">
        <v>168</v>
      </c>
      <c r="AG5" s="451" t="s">
        <v>174</v>
      </c>
      <c r="AH5" s="451" t="s">
        <v>175</v>
      </c>
      <c r="AI5" s="464" t="s">
        <v>176</v>
      </c>
      <c r="AJ5" s="466" t="s">
        <v>177</v>
      </c>
      <c r="AK5" s="450" t="s">
        <v>36</v>
      </c>
      <c r="AL5" s="451" t="s">
        <v>129</v>
      </c>
      <c r="AM5" s="451" t="s">
        <v>130</v>
      </c>
      <c r="AN5" s="575" t="s">
        <v>144</v>
      </c>
      <c r="AO5" s="459" t="s">
        <v>145</v>
      </c>
      <c r="AP5" s="575" t="s">
        <v>167</v>
      </c>
      <c r="AQ5" s="575" t="s">
        <v>168</v>
      </c>
      <c r="AR5" s="575" t="s">
        <v>174</v>
      </c>
      <c r="AS5" s="575" t="s">
        <v>175</v>
      </c>
      <c r="AT5" s="602" t="s">
        <v>176</v>
      </c>
      <c r="AU5" s="604" t="s">
        <v>177</v>
      </c>
    </row>
    <row r="6" spans="1:47" ht="13.5" thickBot="1" x14ac:dyDescent="0.25">
      <c r="A6" s="598"/>
      <c r="B6" s="599"/>
      <c r="C6" s="472"/>
      <c r="D6" s="451"/>
      <c r="E6" s="451"/>
      <c r="F6" s="451"/>
      <c r="G6" s="451"/>
      <c r="H6" s="451"/>
      <c r="I6" s="451"/>
      <c r="J6" s="465"/>
      <c r="K6" s="467"/>
      <c r="L6" s="450"/>
      <c r="M6" s="451"/>
      <c r="N6" s="451"/>
      <c r="O6" s="465"/>
      <c r="P6" s="467"/>
      <c r="Q6" s="450"/>
      <c r="R6" s="451"/>
      <c r="S6" s="451"/>
      <c r="T6" s="451"/>
      <c r="U6" s="451"/>
      <c r="V6" s="451"/>
      <c r="W6" s="451"/>
      <c r="X6" s="465"/>
      <c r="Y6" s="467"/>
      <c r="Z6" s="450"/>
      <c r="AA6" s="451"/>
      <c r="AB6" s="451"/>
      <c r="AC6" s="451"/>
      <c r="AD6" s="451"/>
      <c r="AE6" s="451"/>
      <c r="AF6" s="451"/>
      <c r="AG6" s="451"/>
      <c r="AH6" s="451"/>
      <c r="AI6" s="465"/>
      <c r="AJ6" s="467"/>
      <c r="AK6" s="450"/>
      <c r="AL6" s="451"/>
      <c r="AM6" s="451"/>
      <c r="AN6" s="575"/>
      <c r="AO6" s="459"/>
      <c r="AP6" s="575"/>
      <c r="AQ6" s="575"/>
      <c r="AR6" s="575"/>
      <c r="AS6" s="575"/>
      <c r="AT6" s="603"/>
      <c r="AU6" s="605"/>
    </row>
    <row r="7" spans="1:47" x14ac:dyDescent="0.2">
      <c r="A7" s="600">
        <v>1</v>
      </c>
      <c r="B7" s="601"/>
      <c r="C7" s="328">
        <v>2</v>
      </c>
      <c r="D7" s="126">
        <v>3</v>
      </c>
      <c r="E7" s="126">
        <v>4</v>
      </c>
      <c r="F7" s="126"/>
      <c r="G7" s="126"/>
      <c r="H7" s="126"/>
      <c r="I7" s="126"/>
      <c r="J7" s="126"/>
      <c r="K7" s="329"/>
      <c r="L7" s="328">
        <v>5</v>
      </c>
      <c r="M7" s="126">
        <v>6</v>
      </c>
      <c r="N7" s="126">
        <v>7</v>
      </c>
      <c r="O7" s="126"/>
      <c r="P7" s="329"/>
      <c r="Q7" s="328">
        <v>8</v>
      </c>
      <c r="R7" s="126">
        <v>9</v>
      </c>
      <c r="S7" s="126">
        <v>10</v>
      </c>
      <c r="T7" s="126"/>
      <c r="U7" s="126"/>
      <c r="V7" s="126"/>
      <c r="W7" s="126"/>
      <c r="X7" s="126"/>
      <c r="Y7" s="329"/>
      <c r="Z7" s="328">
        <v>11</v>
      </c>
      <c r="AA7" s="126">
        <v>12</v>
      </c>
      <c r="AB7" s="126">
        <v>13</v>
      </c>
      <c r="AC7" s="126"/>
      <c r="AD7" s="126"/>
      <c r="AE7" s="126"/>
      <c r="AF7" s="126"/>
      <c r="AG7" s="126"/>
      <c r="AH7" s="126"/>
      <c r="AI7" s="126"/>
      <c r="AJ7" s="329"/>
      <c r="AK7" s="328">
        <v>14</v>
      </c>
      <c r="AL7" s="126">
        <v>15</v>
      </c>
      <c r="AM7" s="126">
        <v>16</v>
      </c>
      <c r="AN7" s="117"/>
      <c r="AO7" s="117"/>
      <c r="AP7" s="117"/>
      <c r="AQ7" s="117"/>
      <c r="AR7" s="117"/>
      <c r="AS7" s="117"/>
      <c r="AT7" s="117"/>
      <c r="AU7" s="214"/>
    </row>
    <row r="8" spans="1:47" ht="12.75" customHeight="1" x14ac:dyDescent="0.2">
      <c r="A8" s="497" t="s">
        <v>57</v>
      </c>
      <c r="B8" s="498"/>
      <c r="C8" s="87"/>
      <c r="D8" s="17"/>
      <c r="E8" s="17"/>
      <c r="F8" s="17"/>
      <c r="G8" s="17"/>
      <c r="H8" s="17"/>
      <c r="I8" s="17"/>
      <c r="J8" s="17"/>
      <c r="K8" s="81"/>
      <c r="L8" s="87"/>
      <c r="M8" s="17"/>
      <c r="N8" s="17"/>
      <c r="O8" s="17"/>
      <c r="P8" s="81"/>
      <c r="Q8" s="87"/>
      <c r="R8" s="17"/>
      <c r="S8" s="17"/>
      <c r="T8" s="17"/>
      <c r="U8" s="17"/>
      <c r="V8" s="17"/>
      <c r="W8" s="17"/>
      <c r="X8" s="17"/>
      <c r="Y8" s="81"/>
      <c r="Z8" s="87"/>
      <c r="AA8" s="17"/>
      <c r="AB8" s="17"/>
      <c r="AC8" s="17"/>
      <c r="AD8" s="17"/>
      <c r="AE8" s="17"/>
      <c r="AF8" s="17"/>
      <c r="AG8" s="17"/>
      <c r="AH8" s="17"/>
      <c r="AI8" s="17"/>
      <c r="AJ8" s="81"/>
      <c r="AK8" s="102"/>
      <c r="AL8" s="12"/>
      <c r="AM8" s="12"/>
      <c r="AN8" s="117"/>
      <c r="AO8" s="117"/>
      <c r="AP8" s="117"/>
      <c r="AQ8" s="117"/>
      <c r="AR8" s="117"/>
      <c r="AS8" s="117"/>
      <c r="AT8" s="117"/>
      <c r="AU8" s="214"/>
    </row>
    <row r="9" spans="1:47" ht="12.75" customHeight="1" x14ac:dyDescent="0.2">
      <c r="A9" s="21" t="s">
        <v>2</v>
      </c>
      <c r="B9" s="66" t="s">
        <v>3</v>
      </c>
      <c r="C9" s="115">
        <v>97808505</v>
      </c>
      <c r="D9" s="27"/>
      <c r="E9" s="27">
        <f>SUM(C9:D9)</f>
        <v>97808505</v>
      </c>
      <c r="F9" s="17">
        <f>-50+33</f>
        <v>-17</v>
      </c>
      <c r="G9" s="17">
        <v>97792</v>
      </c>
      <c r="H9" s="17">
        <v>6</v>
      </c>
      <c r="I9" s="17">
        <f>SUM(G9:H9)</f>
        <v>97798</v>
      </c>
      <c r="J9" s="17">
        <v>2412</v>
      </c>
      <c r="K9" s="81">
        <f>SUM(I9:J9)</f>
        <v>100210</v>
      </c>
      <c r="L9" s="115">
        <v>5136000</v>
      </c>
      <c r="M9" s="27"/>
      <c r="N9" s="27">
        <f>SUM(L9:M9)</f>
        <v>5136000</v>
      </c>
      <c r="O9" s="17">
        <v>-2685</v>
      </c>
      <c r="P9" s="81">
        <v>2451</v>
      </c>
      <c r="Q9" s="115">
        <v>0</v>
      </c>
      <c r="R9" s="27"/>
      <c r="S9" s="27">
        <f>SUM(Q9:R9)</f>
        <v>0</v>
      </c>
      <c r="T9" s="17">
        <v>50</v>
      </c>
      <c r="U9" s="17">
        <v>50</v>
      </c>
      <c r="V9" s="17"/>
      <c r="W9" s="17">
        <f>SUM(U9:V9)</f>
        <v>50</v>
      </c>
      <c r="X9" s="17"/>
      <c r="Y9" s="81">
        <f>SUM(W9:X9)</f>
        <v>50</v>
      </c>
      <c r="Z9" s="115">
        <v>30179211</v>
      </c>
      <c r="AA9" s="27">
        <v>40000</v>
      </c>
      <c r="AB9" s="27">
        <f>SUM(Z9:AA9)</f>
        <v>30219211</v>
      </c>
      <c r="AC9" s="17">
        <f>15-33</f>
        <v>-18</v>
      </c>
      <c r="AD9" s="17">
        <v>30201</v>
      </c>
      <c r="AE9" s="17">
        <v>7</v>
      </c>
      <c r="AF9" s="17">
        <f>SUM(AD9:AE9)</f>
        <v>30208</v>
      </c>
      <c r="AG9" s="17">
        <v>34</v>
      </c>
      <c r="AH9" s="17">
        <f>SUM(AF9:AG9)</f>
        <v>30242</v>
      </c>
      <c r="AI9" s="17">
        <v>296</v>
      </c>
      <c r="AJ9" s="81">
        <f>SUM(AH9:AI9)</f>
        <v>30538</v>
      </c>
      <c r="AK9" s="50">
        <f>C9+L9+Q9+Z9</f>
        <v>133123716</v>
      </c>
      <c r="AL9" s="47">
        <f>D9+M9+R9+AA9</f>
        <v>40000</v>
      </c>
      <c r="AM9" s="47">
        <f>SUM(AK9:AL9)</f>
        <v>133163716</v>
      </c>
      <c r="AN9" s="119">
        <f>F9+T9+AC9</f>
        <v>15</v>
      </c>
      <c r="AO9" s="119">
        <v>133179</v>
      </c>
      <c r="AP9" s="119">
        <f>V9+AE9</f>
        <v>7</v>
      </c>
      <c r="AQ9" s="119">
        <f>SUM(AO9:AP9)</f>
        <v>133186</v>
      </c>
      <c r="AR9" s="119">
        <f>H9+AG9</f>
        <v>40</v>
      </c>
      <c r="AS9" s="119">
        <f>SUM(AQ9:AR9)</f>
        <v>133226</v>
      </c>
      <c r="AT9" s="119">
        <f>J9+O9+X9+AI9</f>
        <v>23</v>
      </c>
      <c r="AU9" s="215">
        <f>SUM(AS9:AT9)</f>
        <v>133249</v>
      </c>
    </row>
    <row r="10" spans="1:47" ht="25.5" customHeight="1" x14ac:dyDescent="0.2">
      <c r="A10" s="21" t="s">
        <v>4</v>
      </c>
      <c r="B10" s="66" t="s">
        <v>39</v>
      </c>
      <c r="C10" s="115">
        <v>19072658</v>
      </c>
      <c r="D10" s="27"/>
      <c r="E10" s="27">
        <f t="shared" ref="E10:E39" si="0">SUM(C10:D10)</f>
        <v>19072658</v>
      </c>
      <c r="F10" s="17">
        <f>-27+7</f>
        <v>-20</v>
      </c>
      <c r="G10" s="17">
        <v>19053</v>
      </c>
      <c r="H10" s="17"/>
      <c r="I10" s="17">
        <f t="shared" ref="I10:I38" si="1">SUM(G10:H10)</f>
        <v>19053</v>
      </c>
      <c r="J10" s="17">
        <v>524</v>
      </c>
      <c r="K10" s="81">
        <f t="shared" ref="K10:K39" si="2">SUM(I10:J10)</f>
        <v>19577</v>
      </c>
      <c r="L10" s="115">
        <v>1001520</v>
      </c>
      <c r="M10" s="27"/>
      <c r="N10" s="27">
        <f t="shared" ref="N10:N39" si="3">SUM(L10:M10)</f>
        <v>1001520</v>
      </c>
      <c r="O10" s="17">
        <v>-569</v>
      </c>
      <c r="P10" s="81">
        <v>433</v>
      </c>
      <c r="Q10" s="115">
        <v>0</v>
      </c>
      <c r="R10" s="27"/>
      <c r="S10" s="27">
        <f t="shared" ref="S10:S39" si="4">SUM(Q10:R10)</f>
        <v>0</v>
      </c>
      <c r="T10" s="17">
        <v>27</v>
      </c>
      <c r="U10" s="17">
        <v>27</v>
      </c>
      <c r="V10" s="17"/>
      <c r="W10" s="17">
        <f t="shared" ref="W10:W39" si="5">SUM(U10:V10)</f>
        <v>27</v>
      </c>
      <c r="X10" s="17">
        <v>-2</v>
      </c>
      <c r="Y10" s="81">
        <f t="shared" ref="Y10:Y39" si="6">SUM(W10:X10)</f>
        <v>25</v>
      </c>
      <c r="Z10" s="115">
        <v>5884946</v>
      </c>
      <c r="AA10" s="27">
        <v>8000</v>
      </c>
      <c r="AB10" s="27">
        <f t="shared" ref="AB10:AB39" si="7">SUM(Z10:AA10)</f>
        <v>5892946</v>
      </c>
      <c r="AC10" s="17">
        <f>3-7</f>
        <v>-4</v>
      </c>
      <c r="AD10" s="17">
        <v>5889</v>
      </c>
      <c r="AE10" s="17">
        <v>1</v>
      </c>
      <c r="AF10" s="17">
        <f t="shared" ref="AF10:AF39" si="8">SUM(AD10:AE10)</f>
        <v>5890</v>
      </c>
      <c r="AG10" s="17">
        <v>8</v>
      </c>
      <c r="AH10" s="17">
        <f t="shared" ref="AH10:AH39" si="9">SUM(AF10:AG10)</f>
        <v>5898</v>
      </c>
      <c r="AI10" s="17">
        <v>95</v>
      </c>
      <c r="AJ10" s="81">
        <f t="shared" ref="AJ10:AJ39" si="10">SUM(AH10:AI10)</f>
        <v>5993</v>
      </c>
      <c r="AK10" s="50">
        <f t="shared" ref="AK10:AK38" si="11">C10+L10+Q10+Z10</f>
        <v>25959124</v>
      </c>
      <c r="AL10" s="47">
        <f t="shared" ref="AL10:AL39" si="12">D10+M10+R10+AA10</f>
        <v>8000</v>
      </c>
      <c r="AM10" s="47">
        <f t="shared" ref="AM10:AM39" si="13">SUM(AK10:AL10)</f>
        <v>25967124</v>
      </c>
      <c r="AN10" s="119">
        <f t="shared" ref="AN10:AN39" si="14">F10+T10+AC10</f>
        <v>3</v>
      </c>
      <c r="AO10" s="119">
        <v>25970</v>
      </c>
      <c r="AP10" s="119">
        <f t="shared" ref="AP10:AP39" si="15">V10+AE10</f>
        <v>1</v>
      </c>
      <c r="AQ10" s="119">
        <f t="shared" ref="AQ10:AQ38" si="16">SUM(AO10:AP10)</f>
        <v>25971</v>
      </c>
      <c r="AR10" s="119">
        <f t="shared" ref="AR10:AR39" si="17">H10+AG10</f>
        <v>8</v>
      </c>
      <c r="AS10" s="119">
        <f t="shared" ref="AS10:AS39" si="18">SUM(AQ10:AR10)</f>
        <v>25979</v>
      </c>
      <c r="AT10" s="119">
        <f t="shared" ref="AT10:AT39" si="19">J10+O10+X10+AI10</f>
        <v>48</v>
      </c>
      <c r="AU10" s="215">
        <f t="shared" ref="AU10:AU38" si="20">SUM(AS10:AT10)</f>
        <v>26027</v>
      </c>
    </row>
    <row r="11" spans="1:47" ht="12.75" customHeight="1" x14ac:dyDescent="0.2">
      <c r="A11" s="21" t="s">
        <v>5</v>
      </c>
      <c r="B11" s="66" t="s">
        <v>71</v>
      </c>
      <c r="C11" s="115">
        <v>843805</v>
      </c>
      <c r="D11" s="27"/>
      <c r="E11" s="27">
        <f t="shared" si="0"/>
        <v>843805</v>
      </c>
      <c r="F11" s="17">
        <v>0</v>
      </c>
      <c r="G11" s="17">
        <v>844</v>
      </c>
      <c r="H11" s="17"/>
      <c r="I11" s="17">
        <f t="shared" si="1"/>
        <v>844</v>
      </c>
      <c r="J11" s="17"/>
      <c r="K11" s="81">
        <f t="shared" si="2"/>
        <v>844</v>
      </c>
      <c r="L11" s="115">
        <v>0</v>
      </c>
      <c r="M11" s="27"/>
      <c r="N11" s="27">
        <f t="shared" si="3"/>
        <v>0</v>
      </c>
      <c r="O11" s="17"/>
      <c r="P11" s="81"/>
      <c r="Q11" s="115">
        <v>13763954</v>
      </c>
      <c r="R11" s="27">
        <v>516000</v>
      </c>
      <c r="S11" s="27">
        <f t="shared" si="4"/>
        <v>14279954</v>
      </c>
      <c r="T11" s="17">
        <v>-552</v>
      </c>
      <c r="U11" s="17">
        <v>13728</v>
      </c>
      <c r="V11" s="17">
        <v>-1819</v>
      </c>
      <c r="W11" s="17">
        <f t="shared" si="5"/>
        <v>11909</v>
      </c>
      <c r="X11" s="17">
        <v>-949</v>
      </c>
      <c r="Y11" s="81">
        <f t="shared" si="6"/>
        <v>10960</v>
      </c>
      <c r="Z11" s="115">
        <v>3424696</v>
      </c>
      <c r="AA11" s="27"/>
      <c r="AB11" s="27">
        <f t="shared" si="7"/>
        <v>3424696</v>
      </c>
      <c r="AC11" s="17">
        <v>552</v>
      </c>
      <c r="AD11" s="17">
        <v>3977</v>
      </c>
      <c r="AE11" s="17">
        <f>1819+417</f>
        <v>2236</v>
      </c>
      <c r="AF11" s="17">
        <f t="shared" si="8"/>
        <v>6213</v>
      </c>
      <c r="AG11" s="17"/>
      <c r="AH11" s="17">
        <f t="shared" si="9"/>
        <v>6213</v>
      </c>
      <c r="AI11" s="17">
        <v>823</v>
      </c>
      <c r="AJ11" s="81">
        <f t="shared" si="10"/>
        <v>7036</v>
      </c>
      <c r="AK11" s="50">
        <f t="shared" si="11"/>
        <v>18032455</v>
      </c>
      <c r="AL11" s="47">
        <f t="shared" si="12"/>
        <v>516000</v>
      </c>
      <c r="AM11" s="47">
        <f t="shared" si="13"/>
        <v>18548455</v>
      </c>
      <c r="AN11" s="119">
        <f t="shared" si="14"/>
        <v>0</v>
      </c>
      <c r="AO11" s="119">
        <v>18548</v>
      </c>
      <c r="AP11" s="119">
        <f t="shared" si="15"/>
        <v>417</v>
      </c>
      <c r="AQ11" s="119">
        <f t="shared" si="16"/>
        <v>18965</v>
      </c>
      <c r="AR11" s="119">
        <f t="shared" si="17"/>
        <v>0</v>
      </c>
      <c r="AS11" s="119">
        <f t="shared" si="18"/>
        <v>18965</v>
      </c>
      <c r="AT11" s="119">
        <f t="shared" si="19"/>
        <v>-126</v>
      </c>
      <c r="AU11" s="215">
        <f t="shared" si="20"/>
        <v>18839</v>
      </c>
    </row>
    <row r="12" spans="1:47" ht="12.75" customHeight="1" x14ac:dyDescent="0.2">
      <c r="A12" s="21" t="s">
        <v>6</v>
      </c>
      <c r="B12" s="66" t="s">
        <v>41</v>
      </c>
      <c r="C12" s="115">
        <v>0</v>
      </c>
      <c r="D12" s="27"/>
      <c r="E12" s="27">
        <f t="shared" si="0"/>
        <v>0</v>
      </c>
      <c r="F12" s="17"/>
      <c r="G12" s="17"/>
      <c r="H12" s="17"/>
      <c r="I12" s="17">
        <f t="shared" si="1"/>
        <v>0</v>
      </c>
      <c r="J12" s="17"/>
      <c r="K12" s="81">
        <f t="shared" si="2"/>
        <v>0</v>
      </c>
      <c r="L12" s="115">
        <v>0</v>
      </c>
      <c r="M12" s="27"/>
      <c r="N12" s="27">
        <f t="shared" si="3"/>
        <v>0</v>
      </c>
      <c r="O12" s="17"/>
      <c r="P12" s="81"/>
      <c r="Q12" s="115">
        <v>0</v>
      </c>
      <c r="R12" s="27"/>
      <c r="S12" s="27">
        <f t="shared" si="4"/>
        <v>0</v>
      </c>
      <c r="T12" s="17"/>
      <c r="U12" s="17"/>
      <c r="V12" s="17"/>
      <c r="W12" s="17">
        <f t="shared" si="5"/>
        <v>0</v>
      </c>
      <c r="X12" s="17"/>
      <c r="Y12" s="81">
        <f t="shared" si="6"/>
        <v>0</v>
      </c>
      <c r="Z12" s="115">
        <v>0</v>
      </c>
      <c r="AA12" s="27"/>
      <c r="AB12" s="27">
        <f t="shared" si="7"/>
        <v>0</v>
      </c>
      <c r="AC12" s="17"/>
      <c r="AD12" s="17"/>
      <c r="AE12" s="17"/>
      <c r="AF12" s="17">
        <f t="shared" si="8"/>
        <v>0</v>
      </c>
      <c r="AG12" s="17"/>
      <c r="AH12" s="17">
        <f t="shared" si="9"/>
        <v>0</v>
      </c>
      <c r="AI12" s="17"/>
      <c r="AJ12" s="81">
        <f t="shared" si="10"/>
        <v>0</v>
      </c>
      <c r="AK12" s="50">
        <f t="shared" si="11"/>
        <v>0</v>
      </c>
      <c r="AL12" s="47">
        <f t="shared" si="12"/>
        <v>0</v>
      </c>
      <c r="AM12" s="47">
        <f t="shared" si="13"/>
        <v>0</v>
      </c>
      <c r="AN12" s="119">
        <f t="shared" si="14"/>
        <v>0</v>
      </c>
      <c r="AO12" s="119"/>
      <c r="AP12" s="119">
        <f t="shared" si="15"/>
        <v>0</v>
      </c>
      <c r="AQ12" s="119">
        <f t="shared" si="16"/>
        <v>0</v>
      </c>
      <c r="AR12" s="119">
        <f t="shared" si="17"/>
        <v>0</v>
      </c>
      <c r="AS12" s="119">
        <f t="shared" si="18"/>
        <v>0</v>
      </c>
      <c r="AT12" s="119">
        <f t="shared" si="19"/>
        <v>0</v>
      </c>
      <c r="AU12" s="215">
        <f t="shared" si="20"/>
        <v>0</v>
      </c>
    </row>
    <row r="13" spans="1:47" ht="12.75" customHeight="1" x14ac:dyDescent="0.2">
      <c r="A13" s="21" t="s">
        <v>7</v>
      </c>
      <c r="B13" s="66" t="s">
        <v>42</v>
      </c>
      <c r="C13" s="115">
        <v>0</v>
      </c>
      <c r="D13" s="27"/>
      <c r="E13" s="27">
        <f t="shared" si="0"/>
        <v>0</v>
      </c>
      <c r="F13" s="17"/>
      <c r="G13" s="17"/>
      <c r="H13" s="17"/>
      <c r="I13" s="17">
        <f t="shared" si="1"/>
        <v>0</v>
      </c>
      <c r="J13" s="17"/>
      <c r="K13" s="81">
        <f t="shared" si="2"/>
        <v>0</v>
      </c>
      <c r="L13" s="115">
        <v>0</v>
      </c>
      <c r="M13" s="27"/>
      <c r="N13" s="27">
        <f t="shared" si="3"/>
        <v>0</v>
      </c>
      <c r="O13" s="17"/>
      <c r="P13" s="81"/>
      <c r="Q13" s="115">
        <v>0</v>
      </c>
      <c r="R13" s="27"/>
      <c r="S13" s="27">
        <f t="shared" si="4"/>
        <v>0</v>
      </c>
      <c r="T13" s="17"/>
      <c r="U13" s="17"/>
      <c r="V13" s="17"/>
      <c r="W13" s="17">
        <f t="shared" si="5"/>
        <v>0</v>
      </c>
      <c r="X13" s="17"/>
      <c r="Y13" s="81">
        <f t="shared" si="6"/>
        <v>0</v>
      </c>
      <c r="Z13" s="115">
        <v>0</v>
      </c>
      <c r="AA13" s="27"/>
      <c r="AB13" s="27">
        <f t="shared" si="7"/>
        <v>0</v>
      </c>
      <c r="AC13" s="17"/>
      <c r="AD13" s="17"/>
      <c r="AE13" s="17"/>
      <c r="AF13" s="17">
        <f t="shared" si="8"/>
        <v>0</v>
      </c>
      <c r="AG13" s="17"/>
      <c r="AH13" s="17">
        <f t="shared" si="9"/>
        <v>0</v>
      </c>
      <c r="AI13" s="17"/>
      <c r="AJ13" s="81">
        <f t="shared" si="10"/>
        <v>0</v>
      </c>
      <c r="AK13" s="50">
        <f t="shared" si="11"/>
        <v>0</v>
      </c>
      <c r="AL13" s="47">
        <f t="shared" si="12"/>
        <v>0</v>
      </c>
      <c r="AM13" s="47">
        <f t="shared" si="13"/>
        <v>0</v>
      </c>
      <c r="AN13" s="119">
        <f t="shared" si="14"/>
        <v>0</v>
      </c>
      <c r="AO13" s="119"/>
      <c r="AP13" s="119">
        <f t="shared" si="15"/>
        <v>0</v>
      </c>
      <c r="AQ13" s="119">
        <f t="shared" si="16"/>
        <v>0</v>
      </c>
      <c r="AR13" s="119">
        <f t="shared" si="17"/>
        <v>0</v>
      </c>
      <c r="AS13" s="119">
        <f t="shared" si="18"/>
        <v>0</v>
      </c>
      <c r="AT13" s="119">
        <f t="shared" si="19"/>
        <v>0</v>
      </c>
      <c r="AU13" s="215">
        <f t="shared" si="20"/>
        <v>0</v>
      </c>
    </row>
    <row r="14" spans="1:47" ht="12.75" customHeight="1" x14ac:dyDescent="0.2">
      <c r="A14" s="21" t="s">
        <v>8</v>
      </c>
      <c r="B14" s="79" t="s">
        <v>72</v>
      </c>
      <c r="C14" s="115"/>
      <c r="D14" s="27"/>
      <c r="E14" s="27">
        <f t="shared" si="0"/>
        <v>0</v>
      </c>
      <c r="F14" s="17"/>
      <c r="G14" s="17"/>
      <c r="H14" s="17"/>
      <c r="I14" s="17">
        <f t="shared" si="1"/>
        <v>0</v>
      </c>
      <c r="J14" s="17"/>
      <c r="K14" s="81">
        <f t="shared" si="2"/>
        <v>0</v>
      </c>
      <c r="L14" s="115"/>
      <c r="M14" s="27"/>
      <c r="N14" s="27">
        <f t="shared" si="3"/>
        <v>0</v>
      </c>
      <c r="O14" s="17"/>
      <c r="P14" s="81"/>
      <c r="Q14" s="115"/>
      <c r="R14" s="27"/>
      <c r="S14" s="27">
        <f t="shared" si="4"/>
        <v>0</v>
      </c>
      <c r="T14" s="17"/>
      <c r="U14" s="17"/>
      <c r="V14" s="17"/>
      <c r="W14" s="17">
        <f t="shared" si="5"/>
        <v>0</v>
      </c>
      <c r="X14" s="17"/>
      <c r="Y14" s="81">
        <f t="shared" si="6"/>
        <v>0</v>
      </c>
      <c r="Z14" s="115"/>
      <c r="AA14" s="27"/>
      <c r="AB14" s="27">
        <f t="shared" si="7"/>
        <v>0</v>
      </c>
      <c r="AC14" s="17"/>
      <c r="AD14" s="17"/>
      <c r="AE14" s="17"/>
      <c r="AF14" s="17">
        <f t="shared" si="8"/>
        <v>0</v>
      </c>
      <c r="AG14" s="17"/>
      <c r="AH14" s="17">
        <f t="shared" si="9"/>
        <v>0</v>
      </c>
      <c r="AI14" s="17"/>
      <c r="AJ14" s="81">
        <f t="shared" si="10"/>
        <v>0</v>
      </c>
      <c r="AK14" s="50">
        <f t="shared" si="11"/>
        <v>0</v>
      </c>
      <c r="AL14" s="47">
        <f t="shared" si="12"/>
        <v>0</v>
      </c>
      <c r="AM14" s="47">
        <f t="shared" si="13"/>
        <v>0</v>
      </c>
      <c r="AN14" s="119">
        <f t="shared" si="14"/>
        <v>0</v>
      </c>
      <c r="AO14" s="119"/>
      <c r="AP14" s="119">
        <f t="shared" si="15"/>
        <v>0</v>
      </c>
      <c r="AQ14" s="119">
        <f t="shared" si="16"/>
        <v>0</v>
      </c>
      <c r="AR14" s="119">
        <f t="shared" si="17"/>
        <v>0</v>
      </c>
      <c r="AS14" s="119">
        <f t="shared" si="18"/>
        <v>0</v>
      </c>
      <c r="AT14" s="119">
        <f t="shared" si="19"/>
        <v>0</v>
      </c>
      <c r="AU14" s="215">
        <f t="shared" si="20"/>
        <v>0</v>
      </c>
    </row>
    <row r="15" spans="1:47" s="30" customFormat="1" ht="12.75" customHeight="1" x14ac:dyDescent="0.2">
      <c r="A15" s="20" t="s">
        <v>9</v>
      </c>
      <c r="B15" s="206" t="s">
        <v>43</v>
      </c>
      <c r="C15" s="90">
        <f>C9+C10+C11+C12+C13+C14</f>
        <v>117724968</v>
      </c>
      <c r="D15" s="26"/>
      <c r="E15" s="27">
        <f t="shared" si="0"/>
        <v>117724968</v>
      </c>
      <c r="F15" s="17">
        <f>SUM(F9:F14)</f>
        <v>-37</v>
      </c>
      <c r="G15" s="17">
        <f>SUM(G9:G14)</f>
        <v>117689</v>
      </c>
      <c r="H15" s="17">
        <v>6</v>
      </c>
      <c r="I15" s="17">
        <f t="shared" si="1"/>
        <v>117695</v>
      </c>
      <c r="J15" s="17">
        <f>SUM(J9:J14)</f>
        <v>2936</v>
      </c>
      <c r="K15" s="81">
        <f t="shared" si="2"/>
        <v>120631</v>
      </c>
      <c r="L15" s="90">
        <f>L9+L10+L11+L12+L13+L14</f>
        <v>6137520</v>
      </c>
      <c r="M15" s="26"/>
      <c r="N15" s="27">
        <f t="shared" si="3"/>
        <v>6137520</v>
      </c>
      <c r="O15" s="17">
        <f>SUM(O9:O14)</f>
        <v>-3254</v>
      </c>
      <c r="P15" s="81">
        <f>SUM(P9:P14)</f>
        <v>2884</v>
      </c>
      <c r="Q15" s="90">
        <f>Q9+Q10+Q11+Q12+Q13+Q14</f>
        <v>13763954</v>
      </c>
      <c r="R15" s="26">
        <f>SUM(R11)</f>
        <v>516000</v>
      </c>
      <c r="S15" s="27">
        <f t="shared" si="4"/>
        <v>14279954</v>
      </c>
      <c r="T15" s="17">
        <f>SUM(T9:T14)</f>
        <v>-475</v>
      </c>
      <c r="U15" s="17">
        <f>SUM(U9:U14)</f>
        <v>13805</v>
      </c>
      <c r="V15" s="17">
        <v>-1819</v>
      </c>
      <c r="W15" s="17">
        <f t="shared" si="5"/>
        <v>11986</v>
      </c>
      <c r="X15" s="17">
        <f>SUM(X9:X14)</f>
        <v>-951</v>
      </c>
      <c r="Y15" s="81">
        <f t="shared" si="6"/>
        <v>11035</v>
      </c>
      <c r="Z15" s="90">
        <f>Z9+Z10+Z11+Z12+Z13+Z14</f>
        <v>39488853</v>
      </c>
      <c r="AA15" s="26">
        <f>SUM(AA9:AA14)</f>
        <v>48000</v>
      </c>
      <c r="AB15" s="27">
        <f t="shared" si="7"/>
        <v>39536853</v>
      </c>
      <c r="AC15" s="17">
        <f>SUM(AC9:AC14)</f>
        <v>530</v>
      </c>
      <c r="AD15" s="17">
        <f>SUM(AD9:AD14)</f>
        <v>40067</v>
      </c>
      <c r="AE15" s="17">
        <f>SUM(AE9:AE14)</f>
        <v>2244</v>
      </c>
      <c r="AF15" s="17">
        <f t="shared" si="8"/>
        <v>42311</v>
      </c>
      <c r="AG15" s="17">
        <f>SUM(AG9:AG14)</f>
        <v>42</v>
      </c>
      <c r="AH15" s="17">
        <f t="shared" si="9"/>
        <v>42353</v>
      </c>
      <c r="AI15" s="17">
        <f>SUM(AI9:AI14)</f>
        <v>1214</v>
      </c>
      <c r="AJ15" s="81">
        <f t="shared" si="10"/>
        <v>43567</v>
      </c>
      <c r="AK15" s="118">
        <f t="shared" si="11"/>
        <v>177115295</v>
      </c>
      <c r="AL15" s="47">
        <f t="shared" si="12"/>
        <v>564000</v>
      </c>
      <c r="AM15" s="47">
        <f t="shared" si="13"/>
        <v>177679295</v>
      </c>
      <c r="AN15" s="119">
        <f t="shared" si="14"/>
        <v>18</v>
      </c>
      <c r="AO15" s="164">
        <f>SUM(AO9:AO14)</f>
        <v>177697</v>
      </c>
      <c r="AP15" s="119">
        <f t="shared" si="15"/>
        <v>425</v>
      </c>
      <c r="AQ15" s="119">
        <f t="shared" si="16"/>
        <v>178122</v>
      </c>
      <c r="AR15" s="119">
        <f t="shared" si="17"/>
        <v>48</v>
      </c>
      <c r="AS15" s="119">
        <f t="shared" si="18"/>
        <v>178170</v>
      </c>
      <c r="AT15" s="119">
        <f t="shared" si="19"/>
        <v>-55</v>
      </c>
      <c r="AU15" s="215">
        <f t="shared" si="20"/>
        <v>178115</v>
      </c>
    </row>
    <row r="16" spans="1:47" ht="12.75" customHeight="1" x14ac:dyDescent="0.2">
      <c r="A16" s="21" t="s">
        <v>10</v>
      </c>
      <c r="B16" s="66" t="s">
        <v>44</v>
      </c>
      <c r="C16" s="115">
        <v>0</v>
      </c>
      <c r="D16" s="27"/>
      <c r="E16" s="27">
        <f t="shared" si="0"/>
        <v>0</v>
      </c>
      <c r="F16" s="17"/>
      <c r="G16" s="17"/>
      <c r="H16" s="17"/>
      <c r="I16" s="17">
        <f t="shared" si="1"/>
        <v>0</v>
      </c>
      <c r="J16" s="17">
        <v>3</v>
      </c>
      <c r="K16" s="81">
        <f t="shared" si="2"/>
        <v>3</v>
      </c>
      <c r="L16" s="115">
        <f>'[6]2016 ktgv kiadás_01'!$G$204</f>
        <v>0</v>
      </c>
      <c r="M16" s="27"/>
      <c r="N16" s="27">
        <f t="shared" si="3"/>
        <v>0</v>
      </c>
      <c r="O16" s="17"/>
      <c r="P16" s="81"/>
      <c r="Q16" s="115">
        <v>2105000</v>
      </c>
      <c r="R16" s="27"/>
      <c r="S16" s="27">
        <f t="shared" si="4"/>
        <v>2105000</v>
      </c>
      <c r="T16" s="17">
        <v>-128</v>
      </c>
      <c r="U16" s="17">
        <v>1977</v>
      </c>
      <c r="V16" s="17"/>
      <c r="W16" s="17">
        <f t="shared" si="5"/>
        <v>1977</v>
      </c>
      <c r="X16" s="17">
        <v>-3</v>
      </c>
      <c r="Y16" s="81">
        <f t="shared" si="6"/>
        <v>1974</v>
      </c>
      <c r="Z16" s="115">
        <f>'[6]2016 ktgv kiadás_01'!$G$204</f>
        <v>0</v>
      </c>
      <c r="AA16" s="27"/>
      <c r="AB16" s="27">
        <f t="shared" si="7"/>
        <v>0</v>
      </c>
      <c r="AC16" s="17">
        <v>128</v>
      </c>
      <c r="AD16" s="17">
        <v>128</v>
      </c>
      <c r="AE16" s="17"/>
      <c r="AF16" s="17">
        <f t="shared" si="8"/>
        <v>128</v>
      </c>
      <c r="AG16" s="17"/>
      <c r="AH16" s="17">
        <f t="shared" si="9"/>
        <v>128</v>
      </c>
      <c r="AI16" s="17"/>
      <c r="AJ16" s="81">
        <f t="shared" si="10"/>
        <v>128</v>
      </c>
      <c r="AK16" s="50">
        <f t="shared" si="11"/>
        <v>2105000</v>
      </c>
      <c r="AL16" s="47">
        <f t="shared" si="12"/>
        <v>0</v>
      </c>
      <c r="AM16" s="47">
        <f t="shared" si="13"/>
        <v>2105000</v>
      </c>
      <c r="AN16" s="119">
        <f t="shared" si="14"/>
        <v>0</v>
      </c>
      <c r="AO16" s="119">
        <v>2105</v>
      </c>
      <c r="AP16" s="119">
        <f t="shared" si="15"/>
        <v>0</v>
      </c>
      <c r="AQ16" s="119">
        <f t="shared" si="16"/>
        <v>2105</v>
      </c>
      <c r="AR16" s="119">
        <f t="shared" si="17"/>
        <v>0</v>
      </c>
      <c r="AS16" s="119">
        <f t="shared" si="18"/>
        <v>2105</v>
      </c>
      <c r="AT16" s="119">
        <f t="shared" si="19"/>
        <v>0</v>
      </c>
      <c r="AU16" s="215">
        <f t="shared" si="20"/>
        <v>2105</v>
      </c>
    </row>
    <row r="17" spans="1:47" ht="12.75" customHeight="1" x14ac:dyDescent="0.2">
      <c r="A17" s="21" t="s">
        <v>11</v>
      </c>
      <c r="B17" s="66" t="s">
        <v>45</v>
      </c>
      <c r="C17" s="115">
        <f>'[6]2016 ktgv kiadás_01'!$G$212</f>
        <v>0</v>
      </c>
      <c r="D17" s="27"/>
      <c r="E17" s="27">
        <f t="shared" si="0"/>
        <v>0</v>
      </c>
      <c r="F17" s="17"/>
      <c r="G17" s="17"/>
      <c r="H17" s="17"/>
      <c r="I17" s="17">
        <f t="shared" si="1"/>
        <v>0</v>
      </c>
      <c r="J17" s="17"/>
      <c r="K17" s="81">
        <f t="shared" si="2"/>
        <v>0</v>
      </c>
      <c r="L17" s="115">
        <f>'[6]2016 ktgv kiadás_01'!$G$212</f>
        <v>0</v>
      </c>
      <c r="M17" s="27"/>
      <c r="N17" s="27">
        <f t="shared" si="3"/>
        <v>0</v>
      </c>
      <c r="O17" s="17"/>
      <c r="P17" s="81"/>
      <c r="Q17" s="115">
        <v>0</v>
      </c>
      <c r="R17" s="27"/>
      <c r="S17" s="27">
        <f t="shared" si="4"/>
        <v>0</v>
      </c>
      <c r="T17" s="17"/>
      <c r="U17" s="17"/>
      <c r="V17" s="17"/>
      <c r="W17" s="17">
        <f t="shared" si="5"/>
        <v>0</v>
      </c>
      <c r="X17" s="17"/>
      <c r="Y17" s="81">
        <f t="shared" si="6"/>
        <v>0</v>
      </c>
      <c r="Z17" s="115">
        <f>'[6]2016 ktgv kiadás_01'!$G$212</f>
        <v>0</v>
      </c>
      <c r="AA17" s="27"/>
      <c r="AB17" s="27">
        <f t="shared" si="7"/>
        <v>0</v>
      </c>
      <c r="AC17" s="17"/>
      <c r="AD17" s="17"/>
      <c r="AE17" s="17"/>
      <c r="AF17" s="17">
        <f t="shared" si="8"/>
        <v>0</v>
      </c>
      <c r="AG17" s="17"/>
      <c r="AH17" s="17">
        <f t="shared" si="9"/>
        <v>0</v>
      </c>
      <c r="AI17" s="17"/>
      <c r="AJ17" s="81">
        <f t="shared" si="10"/>
        <v>0</v>
      </c>
      <c r="AK17" s="50">
        <f t="shared" si="11"/>
        <v>0</v>
      </c>
      <c r="AL17" s="47">
        <f t="shared" si="12"/>
        <v>0</v>
      </c>
      <c r="AM17" s="47">
        <f t="shared" si="13"/>
        <v>0</v>
      </c>
      <c r="AN17" s="119">
        <f t="shared" si="14"/>
        <v>0</v>
      </c>
      <c r="AO17" s="119">
        <v>0</v>
      </c>
      <c r="AP17" s="119">
        <f t="shared" si="15"/>
        <v>0</v>
      </c>
      <c r="AQ17" s="119">
        <f t="shared" si="16"/>
        <v>0</v>
      </c>
      <c r="AR17" s="119">
        <f t="shared" si="17"/>
        <v>0</v>
      </c>
      <c r="AS17" s="119">
        <f t="shared" si="18"/>
        <v>0</v>
      </c>
      <c r="AT17" s="119">
        <f t="shared" si="19"/>
        <v>0</v>
      </c>
      <c r="AU17" s="215">
        <f t="shared" si="20"/>
        <v>0</v>
      </c>
    </row>
    <row r="18" spans="1:47" ht="12.75" customHeight="1" x14ac:dyDescent="0.2">
      <c r="A18" s="21" t="s">
        <v>12</v>
      </c>
      <c r="B18" s="66" t="s">
        <v>46</v>
      </c>
      <c r="C18" s="115">
        <v>0</v>
      </c>
      <c r="D18" s="27"/>
      <c r="E18" s="27">
        <f t="shared" si="0"/>
        <v>0</v>
      </c>
      <c r="F18" s="17"/>
      <c r="G18" s="17"/>
      <c r="H18" s="17"/>
      <c r="I18" s="17">
        <f t="shared" si="1"/>
        <v>0</v>
      </c>
      <c r="J18" s="17"/>
      <c r="K18" s="81">
        <f t="shared" si="2"/>
        <v>0</v>
      </c>
      <c r="L18" s="115">
        <v>0</v>
      </c>
      <c r="M18" s="27"/>
      <c r="N18" s="27">
        <f t="shared" si="3"/>
        <v>0</v>
      </c>
      <c r="O18" s="17"/>
      <c r="P18" s="81"/>
      <c r="Q18" s="115">
        <v>0</v>
      </c>
      <c r="R18" s="27"/>
      <c r="S18" s="27">
        <f t="shared" si="4"/>
        <v>0</v>
      </c>
      <c r="T18" s="17"/>
      <c r="U18" s="17"/>
      <c r="V18" s="17"/>
      <c r="W18" s="17">
        <f t="shared" si="5"/>
        <v>0</v>
      </c>
      <c r="X18" s="17"/>
      <c r="Y18" s="81">
        <f t="shared" si="6"/>
        <v>0</v>
      </c>
      <c r="Z18" s="115">
        <v>0</v>
      </c>
      <c r="AA18" s="26"/>
      <c r="AB18" s="27">
        <f t="shared" si="7"/>
        <v>0</v>
      </c>
      <c r="AC18" s="17"/>
      <c r="AD18" s="17"/>
      <c r="AE18" s="17"/>
      <c r="AF18" s="17">
        <f t="shared" si="8"/>
        <v>0</v>
      </c>
      <c r="AG18" s="17"/>
      <c r="AH18" s="17">
        <f t="shared" si="9"/>
        <v>0</v>
      </c>
      <c r="AI18" s="17"/>
      <c r="AJ18" s="81">
        <f t="shared" si="10"/>
        <v>0</v>
      </c>
      <c r="AK18" s="50">
        <f t="shared" si="11"/>
        <v>0</v>
      </c>
      <c r="AL18" s="47">
        <f t="shared" si="12"/>
        <v>0</v>
      </c>
      <c r="AM18" s="47">
        <f t="shared" si="13"/>
        <v>0</v>
      </c>
      <c r="AN18" s="119">
        <f t="shared" si="14"/>
        <v>0</v>
      </c>
      <c r="AO18" s="119"/>
      <c r="AP18" s="119">
        <f t="shared" si="15"/>
        <v>0</v>
      </c>
      <c r="AQ18" s="119">
        <f t="shared" si="16"/>
        <v>0</v>
      </c>
      <c r="AR18" s="119">
        <f t="shared" si="17"/>
        <v>0</v>
      </c>
      <c r="AS18" s="119">
        <f t="shared" si="18"/>
        <v>0</v>
      </c>
      <c r="AT18" s="119">
        <f t="shared" si="19"/>
        <v>0</v>
      </c>
      <c r="AU18" s="215">
        <f t="shared" si="20"/>
        <v>0</v>
      </c>
    </row>
    <row r="19" spans="1:47" s="30" customFormat="1" ht="12.75" customHeight="1" x14ac:dyDescent="0.2">
      <c r="A19" s="20" t="s">
        <v>13</v>
      </c>
      <c r="B19" s="206" t="s">
        <v>47</v>
      </c>
      <c r="C19" s="90">
        <f>C16+C17+C18</f>
        <v>0</v>
      </c>
      <c r="D19" s="26"/>
      <c r="E19" s="27">
        <f t="shared" si="0"/>
        <v>0</v>
      </c>
      <c r="F19" s="17"/>
      <c r="G19" s="17"/>
      <c r="H19" s="17"/>
      <c r="I19" s="17">
        <f t="shared" si="1"/>
        <v>0</v>
      </c>
      <c r="J19" s="17">
        <f>SUM(J16:J18)</f>
        <v>3</v>
      </c>
      <c r="K19" s="81">
        <f t="shared" si="2"/>
        <v>3</v>
      </c>
      <c r="L19" s="90">
        <f>L16+L17+L18</f>
        <v>0</v>
      </c>
      <c r="M19" s="26"/>
      <c r="N19" s="27">
        <f t="shared" si="3"/>
        <v>0</v>
      </c>
      <c r="O19" s="17"/>
      <c r="P19" s="81"/>
      <c r="Q19" s="90">
        <f>Q16+Q17+Q18</f>
        <v>2105000</v>
      </c>
      <c r="R19" s="26"/>
      <c r="S19" s="27">
        <f t="shared" si="4"/>
        <v>2105000</v>
      </c>
      <c r="T19" s="17">
        <v>-128</v>
      </c>
      <c r="U19" s="17">
        <v>1977</v>
      </c>
      <c r="V19" s="17"/>
      <c r="W19" s="17">
        <f t="shared" si="5"/>
        <v>1977</v>
      </c>
      <c r="X19" s="17">
        <v>-3</v>
      </c>
      <c r="Y19" s="81">
        <f t="shared" si="6"/>
        <v>1974</v>
      </c>
      <c r="Z19" s="90">
        <f>Z16+Z17+Z18</f>
        <v>0</v>
      </c>
      <c r="AA19" s="26"/>
      <c r="AB19" s="27">
        <f t="shared" si="7"/>
        <v>0</v>
      </c>
      <c r="AC19" s="17">
        <v>128</v>
      </c>
      <c r="AD19" s="17">
        <v>128</v>
      </c>
      <c r="AE19" s="17"/>
      <c r="AF19" s="17">
        <f t="shared" si="8"/>
        <v>128</v>
      </c>
      <c r="AG19" s="17"/>
      <c r="AH19" s="17">
        <f t="shared" si="9"/>
        <v>128</v>
      </c>
      <c r="AI19" s="17"/>
      <c r="AJ19" s="81">
        <f t="shared" si="10"/>
        <v>128</v>
      </c>
      <c r="AK19" s="118">
        <f t="shared" si="11"/>
        <v>2105000</v>
      </c>
      <c r="AL19" s="47">
        <f t="shared" si="12"/>
        <v>0</v>
      </c>
      <c r="AM19" s="47">
        <f t="shared" si="13"/>
        <v>2105000</v>
      </c>
      <c r="AN19" s="119">
        <f t="shared" si="14"/>
        <v>0</v>
      </c>
      <c r="AO19" s="164">
        <v>2105</v>
      </c>
      <c r="AP19" s="119">
        <f t="shared" si="15"/>
        <v>0</v>
      </c>
      <c r="AQ19" s="119">
        <f t="shared" si="16"/>
        <v>2105</v>
      </c>
      <c r="AR19" s="119">
        <f t="shared" si="17"/>
        <v>0</v>
      </c>
      <c r="AS19" s="119">
        <f t="shared" si="18"/>
        <v>2105</v>
      </c>
      <c r="AT19" s="119">
        <f t="shared" si="19"/>
        <v>0</v>
      </c>
      <c r="AU19" s="215">
        <f t="shared" si="20"/>
        <v>2105</v>
      </c>
    </row>
    <row r="20" spans="1:47" s="30" customFormat="1" ht="12.75" customHeight="1" x14ac:dyDescent="0.2">
      <c r="A20" s="20" t="s">
        <v>14</v>
      </c>
      <c r="B20" s="206" t="s">
        <v>73</v>
      </c>
      <c r="C20" s="90">
        <v>0</v>
      </c>
      <c r="D20" s="26"/>
      <c r="E20" s="27">
        <f t="shared" si="0"/>
        <v>0</v>
      </c>
      <c r="F20" s="17"/>
      <c r="G20" s="17"/>
      <c r="H20" s="17"/>
      <c r="I20" s="17">
        <f t="shared" si="1"/>
        <v>0</v>
      </c>
      <c r="J20" s="17"/>
      <c r="K20" s="81">
        <f t="shared" si="2"/>
        <v>0</v>
      </c>
      <c r="L20" s="90">
        <v>0</v>
      </c>
      <c r="M20" s="26"/>
      <c r="N20" s="27">
        <f t="shared" si="3"/>
        <v>0</v>
      </c>
      <c r="O20" s="17"/>
      <c r="P20" s="81"/>
      <c r="Q20" s="90">
        <v>0</v>
      </c>
      <c r="R20" s="26"/>
      <c r="S20" s="27">
        <f t="shared" si="4"/>
        <v>0</v>
      </c>
      <c r="T20" s="17"/>
      <c r="U20" s="17"/>
      <c r="V20" s="17"/>
      <c r="W20" s="17">
        <f t="shared" si="5"/>
        <v>0</v>
      </c>
      <c r="X20" s="17"/>
      <c r="Y20" s="81">
        <f t="shared" si="6"/>
        <v>0</v>
      </c>
      <c r="Z20" s="90">
        <v>0</v>
      </c>
      <c r="AA20" s="26"/>
      <c r="AB20" s="27">
        <f t="shared" si="7"/>
        <v>0</v>
      </c>
      <c r="AC20" s="17"/>
      <c r="AD20" s="17"/>
      <c r="AE20" s="17"/>
      <c r="AF20" s="17">
        <f t="shared" si="8"/>
        <v>0</v>
      </c>
      <c r="AG20" s="17"/>
      <c r="AH20" s="17">
        <f t="shared" si="9"/>
        <v>0</v>
      </c>
      <c r="AI20" s="17"/>
      <c r="AJ20" s="81">
        <f t="shared" si="10"/>
        <v>0</v>
      </c>
      <c r="AK20" s="118">
        <f t="shared" si="11"/>
        <v>0</v>
      </c>
      <c r="AL20" s="47">
        <f t="shared" si="12"/>
        <v>0</v>
      </c>
      <c r="AM20" s="47">
        <f t="shared" si="13"/>
        <v>0</v>
      </c>
      <c r="AN20" s="119">
        <f t="shared" si="14"/>
        <v>0</v>
      </c>
      <c r="AO20" s="164"/>
      <c r="AP20" s="119">
        <f t="shared" si="15"/>
        <v>0</v>
      </c>
      <c r="AQ20" s="119">
        <f t="shared" si="16"/>
        <v>0</v>
      </c>
      <c r="AR20" s="119">
        <f t="shared" si="17"/>
        <v>0</v>
      </c>
      <c r="AS20" s="119">
        <f t="shared" si="18"/>
        <v>0</v>
      </c>
      <c r="AT20" s="119">
        <f t="shared" si="19"/>
        <v>0</v>
      </c>
      <c r="AU20" s="215">
        <f t="shared" si="20"/>
        <v>0</v>
      </c>
    </row>
    <row r="21" spans="1:47" ht="12.75" customHeight="1" x14ac:dyDescent="0.2">
      <c r="A21" s="21" t="s">
        <v>15</v>
      </c>
      <c r="B21" s="79" t="s">
        <v>77</v>
      </c>
      <c r="C21" s="46">
        <v>0</v>
      </c>
      <c r="D21" s="43"/>
      <c r="E21" s="27">
        <f t="shared" si="0"/>
        <v>0</v>
      </c>
      <c r="F21" s="17"/>
      <c r="G21" s="17"/>
      <c r="H21" s="17"/>
      <c r="I21" s="17">
        <f t="shared" si="1"/>
        <v>0</v>
      </c>
      <c r="J21" s="17"/>
      <c r="K21" s="81">
        <f t="shared" si="2"/>
        <v>0</v>
      </c>
      <c r="L21" s="46">
        <v>0</v>
      </c>
      <c r="M21" s="43"/>
      <c r="N21" s="27">
        <f t="shared" si="3"/>
        <v>0</v>
      </c>
      <c r="O21" s="17"/>
      <c r="P21" s="81"/>
      <c r="Q21" s="46">
        <v>0</v>
      </c>
      <c r="R21" s="43"/>
      <c r="S21" s="27">
        <f t="shared" si="4"/>
        <v>0</v>
      </c>
      <c r="T21" s="17"/>
      <c r="U21" s="17"/>
      <c r="V21" s="17"/>
      <c r="W21" s="17">
        <f t="shared" si="5"/>
        <v>0</v>
      </c>
      <c r="X21" s="17"/>
      <c r="Y21" s="81">
        <f t="shared" si="6"/>
        <v>0</v>
      </c>
      <c r="Z21" s="46">
        <v>0</v>
      </c>
      <c r="AA21" s="26"/>
      <c r="AB21" s="27">
        <f t="shared" si="7"/>
        <v>0</v>
      </c>
      <c r="AC21" s="17"/>
      <c r="AD21" s="17"/>
      <c r="AE21" s="17"/>
      <c r="AF21" s="17">
        <f t="shared" si="8"/>
        <v>0</v>
      </c>
      <c r="AG21" s="17"/>
      <c r="AH21" s="17">
        <f t="shared" si="9"/>
        <v>0</v>
      </c>
      <c r="AI21" s="17"/>
      <c r="AJ21" s="81">
        <f t="shared" si="10"/>
        <v>0</v>
      </c>
      <c r="AK21" s="50">
        <f t="shared" si="11"/>
        <v>0</v>
      </c>
      <c r="AL21" s="47">
        <f t="shared" si="12"/>
        <v>0</v>
      </c>
      <c r="AM21" s="47">
        <f t="shared" si="13"/>
        <v>0</v>
      </c>
      <c r="AN21" s="119">
        <f t="shared" si="14"/>
        <v>0</v>
      </c>
      <c r="AO21" s="119"/>
      <c r="AP21" s="119">
        <f t="shared" si="15"/>
        <v>0</v>
      </c>
      <c r="AQ21" s="119">
        <f t="shared" si="16"/>
        <v>0</v>
      </c>
      <c r="AR21" s="119">
        <f t="shared" si="17"/>
        <v>0</v>
      </c>
      <c r="AS21" s="119">
        <f t="shared" si="18"/>
        <v>0</v>
      </c>
      <c r="AT21" s="119">
        <f t="shared" si="19"/>
        <v>0</v>
      </c>
      <c r="AU21" s="215">
        <f t="shared" si="20"/>
        <v>0</v>
      </c>
    </row>
    <row r="22" spans="1:47" s="30" customFormat="1" ht="12.75" customHeight="1" x14ac:dyDescent="0.2">
      <c r="A22" s="20" t="s">
        <v>16</v>
      </c>
      <c r="B22" s="206" t="s">
        <v>48</v>
      </c>
      <c r="C22" s="90">
        <f>C15+C19+C20</f>
        <v>117724968</v>
      </c>
      <c r="D22" s="26"/>
      <c r="E22" s="27">
        <f t="shared" si="0"/>
        <v>117724968</v>
      </c>
      <c r="F22" s="17">
        <f>SUM(F15)</f>
        <v>-37</v>
      </c>
      <c r="G22" s="17">
        <f>SUM(G15)</f>
        <v>117689</v>
      </c>
      <c r="H22" s="17">
        <v>6</v>
      </c>
      <c r="I22" s="17">
        <f t="shared" si="1"/>
        <v>117695</v>
      </c>
      <c r="J22" s="17">
        <f>J15+J19</f>
        <v>2939</v>
      </c>
      <c r="K22" s="81">
        <f t="shared" si="2"/>
        <v>120634</v>
      </c>
      <c r="L22" s="90">
        <f>L15+L19+L20</f>
        <v>6137520</v>
      </c>
      <c r="M22" s="26"/>
      <c r="N22" s="27">
        <f t="shared" si="3"/>
        <v>6137520</v>
      </c>
      <c r="O22" s="17">
        <v>-3254</v>
      </c>
      <c r="P22" s="81">
        <v>2884</v>
      </c>
      <c r="Q22" s="90">
        <f>Q15+Q19+Q20</f>
        <v>15868954</v>
      </c>
      <c r="R22" s="26">
        <f>SUM(R15)</f>
        <v>516000</v>
      </c>
      <c r="S22" s="27">
        <f t="shared" si="4"/>
        <v>16384954</v>
      </c>
      <c r="T22" s="17">
        <f>T15+T19</f>
        <v>-603</v>
      </c>
      <c r="U22" s="17">
        <f>U15+U19</f>
        <v>15782</v>
      </c>
      <c r="V22" s="17">
        <v>-1819</v>
      </c>
      <c r="W22" s="17">
        <f t="shared" si="5"/>
        <v>13963</v>
      </c>
      <c r="X22" s="17">
        <f>X15+X19</f>
        <v>-954</v>
      </c>
      <c r="Y22" s="81">
        <f t="shared" si="6"/>
        <v>13009</v>
      </c>
      <c r="Z22" s="90">
        <f>Z15+Z19+Z20</f>
        <v>39488853</v>
      </c>
      <c r="AA22" s="26">
        <f>SUM(AA15)</f>
        <v>48000</v>
      </c>
      <c r="AB22" s="27">
        <f t="shared" si="7"/>
        <v>39536853</v>
      </c>
      <c r="AC22" s="17">
        <f>AC15+AC19</f>
        <v>658</v>
      </c>
      <c r="AD22" s="17">
        <f>AD15+AD19</f>
        <v>40195</v>
      </c>
      <c r="AE22" s="17">
        <f>SUM(AE15)</f>
        <v>2244</v>
      </c>
      <c r="AF22" s="17">
        <f t="shared" si="8"/>
        <v>42439</v>
      </c>
      <c r="AG22" s="17">
        <v>42</v>
      </c>
      <c r="AH22" s="17">
        <f t="shared" si="9"/>
        <v>42481</v>
      </c>
      <c r="AI22" s="17">
        <f>SUM(AI15)</f>
        <v>1214</v>
      </c>
      <c r="AJ22" s="81">
        <f t="shared" si="10"/>
        <v>43695</v>
      </c>
      <c r="AK22" s="118">
        <f t="shared" si="11"/>
        <v>179220295</v>
      </c>
      <c r="AL22" s="47">
        <f t="shared" si="12"/>
        <v>564000</v>
      </c>
      <c r="AM22" s="47">
        <f t="shared" si="13"/>
        <v>179784295</v>
      </c>
      <c r="AN22" s="119">
        <f t="shared" si="14"/>
        <v>18</v>
      </c>
      <c r="AO22" s="164">
        <f>AO15+AO19</f>
        <v>179802</v>
      </c>
      <c r="AP22" s="119">
        <f t="shared" si="15"/>
        <v>425</v>
      </c>
      <c r="AQ22" s="119">
        <f t="shared" si="16"/>
        <v>180227</v>
      </c>
      <c r="AR22" s="119">
        <f t="shared" si="17"/>
        <v>48</v>
      </c>
      <c r="AS22" s="119">
        <f t="shared" si="18"/>
        <v>180275</v>
      </c>
      <c r="AT22" s="119">
        <f t="shared" si="19"/>
        <v>-55</v>
      </c>
      <c r="AU22" s="215">
        <f t="shared" si="20"/>
        <v>180220</v>
      </c>
    </row>
    <row r="23" spans="1:47" ht="12.75" customHeight="1" x14ac:dyDescent="0.2">
      <c r="A23" s="497" t="s">
        <v>55</v>
      </c>
      <c r="B23" s="498"/>
      <c r="C23" s="90"/>
      <c r="D23" s="26"/>
      <c r="E23" s="27">
        <f t="shared" si="0"/>
        <v>0</v>
      </c>
      <c r="F23" s="17"/>
      <c r="G23" s="17"/>
      <c r="H23" s="17"/>
      <c r="I23" s="17">
        <f t="shared" si="1"/>
        <v>0</v>
      </c>
      <c r="J23" s="17"/>
      <c r="K23" s="81">
        <f t="shared" si="2"/>
        <v>0</v>
      </c>
      <c r="L23" s="90"/>
      <c r="M23" s="26"/>
      <c r="N23" s="27">
        <f t="shared" si="3"/>
        <v>0</v>
      </c>
      <c r="O23" s="17"/>
      <c r="P23" s="81"/>
      <c r="Q23" s="90"/>
      <c r="R23" s="26"/>
      <c r="S23" s="27">
        <f t="shared" si="4"/>
        <v>0</v>
      </c>
      <c r="T23" s="17"/>
      <c r="U23" s="17"/>
      <c r="V23" s="17"/>
      <c r="W23" s="17">
        <f t="shared" si="5"/>
        <v>0</v>
      </c>
      <c r="X23" s="17"/>
      <c r="Y23" s="81">
        <f t="shared" si="6"/>
        <v>0</v>
      </c>
      <c r="Z23" s="90"/>
      <c r="AA23" s="26"/>
      <c r="AB23" s="27">
        <f t="shared" si="7"/>
        <v>0</v>
      </c>
      <c r="AC23" s="17"/>
      <c r="AD23" s="17"/>
      <c r="AE23" s="17"/>
      <c r="AF23" s="17">
        <f t="shared" si="8"/>
        <v>0</v>
      </c>
      <c r="AG23" s="17"/>
      <c r="AH23" s="17">
        <f t="shared" si="9"/>
        <v>0</v>
      </c>
      <c r="AI23" s="17"/>
      <c r="AJ23" s="81">
        <f t="shared" si="10"/>
        <v>0</v>
      </c>
      <c r="AK23" s="50">
        <f t="shared" si="11"/>
        <v>0</v>
      </c>
      <c r="AL23" s="47">
        <f t="shared" si="12"/>
        <v>0</v>
      </c>
      <c r="AM23" s="47">
        <f t="shared" si="13"/>
        <v>0</v>
      </c>
      <c r="AN23" s="119">
        <f t="shared" si="14"/>
        <v>0</v>
      </c>
      <c r="AO23" s="119"/>
      <c r="AP23" s="119">
        <f t="shared" si="15"/>
        <v>0</v>
      </c>
      <c r="AQ23" s="119">
        <f t="shared" si="16"/>
        <v>0</v>
      </c>
      <c r="AR23" s="119">
        <f t="shared" si="17"/>
        <v>0</v>
      </c>
      <c r="AS23" s="119">
        <f t="shared" si="18"/>
        <v>0</v>
      </c>
      <c r="AT23" s="119">
        <f t="shared" si="19"/>
        <v>0</v>
      </c>
      <c r="AU23" s="215">
        <f t="shared" si="20"/>
        <v>0</v>
      </c>
    </row>
    <row r="24" spans="1:47" ht="12.75" customHeight="1" x14ac:dyDescent="0.2">
      <c r="A24" s="21" t="s">
        <v>17</v>
      </c>
      <c r="B24" s="66" t="s">
        <v>78</v>
      </c>
      <c r="C24" s="115">
        <v>0</v>
      </c>
      <c r="D24" s="27"/>
      <c r="E24" s="27">
        <f t="shared" si="0"/>
        <v>0</v>
      </c>
      <c r="F24" s="17"/>
      <c r="G24" s="17"/>
      <c r="H24" s="17"/>
      <c r="I24" s="17">
        <f t="shared" si="1"/>
        <v>0</v>
      </c>
      <c r="J24" s="17"/>
      <c r="K24" s="81">
        <f t="shared" si="2"/>
        <v>0</v>
      </c>
      <c r="L24" s="115">
        <v>0</v>
      </c>
      <c r="M24" s="27"/>
      <c r="N24" s="27">
        <f t="shared" si="3"/>
        <v>0</v>
      </c>
      <c r="O24" s="17"/>
      <c r="P24" s="81"/>
      <c r="Q24" s="115">
        <v>0</v>
      </c>
      <c r="R24" s="27"/>
      <c r="S24" s="27">
        <f t="shared" si="4"/>
        <v>0</v>
      </c>
      <c r="T24" s="17"/>
      <c r="U24" s="17"/>
      <c r="V24" s="17"/>
      <c r="W24" s="17">
        <f t="shared" si="5"/>
        <v>0</v>
      </c>
      <c r="X24" s="17"/>
      <c r="Y24" s="81">
        <f t="shared" si="6"/>
        <v>0</v>
      </c>
      <c r="Z24" s="115">
        <v>0</v>
      </c>
      <c r="AA24" s="26"/>
      <c r="AB24" s="27">
        <f t="shared" si="7"/>
        <v>0</v>
      </c>
      <c r="AC24" s="17"/>
      <c r="AD24" s="17"/>
      <c r="AE24" s="17"/>
      <c r="AF24" s="17">
        <f t="shared" si="8"/>
        <v>0</v>
      </c>
      <c r="AG24" s="17"/>
      <c r="AH24" s="17">
        <f t="shared" si="9"/>
        <v>0</v>
      </c>
      <c r="AI24" s="17"/>
      <c r="AJ24" s="81">
        <f t="shared" si="10"/>
        <v>0</v>
      </c>
      <c r="AK24" s="50">
        <f t="shared" si="11"/>
        <v>0</v>
      </c>
      <c r="AL24" s="47">
        <f t="shared" si="12"/>
        <v>0</v>
      </c>
      <c r="AM24" s="47">
        <f t="shared" si="13"/>
        <v>0</v>
      </c>
      <c r="AN24" s="119">
        <f t="shared" si="14"/>
        <v>0</v>
      </c>
      <c r="AO24" s="119"/>
      <c r="AP24" s="119">
        <f t="shared" si="15"/>
        <v>0</v>
      </c>
      <c r="AQ24" s="119">
        <f t="shared" si="16"/>
        <v>0</v>
      </c>
      <c r="AR24" s="119">
        <f t="shared" si="17"/>
        <v>0</v>
      </c>
      <c r="AS24" s="119">
        <f t="shared" si="18"/>
        <v>0</v>
      </c>
      <c r="AT24" s="119">
        <f t="shared" si="19"/>
        <v>0</v>
      </c>
      <c r="AU24" s="215">
        <f t="shared" si="20"/>
        <v>0</v>
      </c>
    </row>
    <row r="25" spans="1:47" ht="12.75" customHeight="1" x14ac:dyDescent="0.2">
      <c r="A25" s="21" t="s">
        <v>18</v>
      </c>
      <c r="B25" s="79" t="s">
        <v>79</v>
      </c>
      <c r="C25" s="115">
        <v>0</v>
      </c>
      <c r="D25" s="27"/>
      <c r="E25" s="27">
        <f t="shared" si="0"/>
        <v>0</v>
      </c>
      <c r="F25" s="17"/>
      <c r="G25" s="17"/>
      <c r="H25" s="17"/>
      <c r="I25" s="17">
        <f t="shared" si="1"/>
        <v>0</v>
      </c>
      <c r="J25" s="17"/>
      <c r="K25" s="81">
        <f t="shared" si="2"/>
        <v>0</v>
      </c>
      <c r="L25" s="115">
        <v>0</v>
      </c>
      <c r="M25" s="27"/>
      <c r="N25" s="27">
        <f t="shared" si="3"/>
        <v>0</v>
      </c>
      <c r="O25" s="17"/>
      <c r="P25" s="81"/>
      <c r="Q25" s="115">
        <v>0</v>
      </c>
      <c r="R25" s="27"/>
      <c r="S25" s="27">
        <f t="shared" si="4"/>
        <v>0</v>
      </c>
      <c r="T25" s="17"/>
      <c r="U25" s="17"/>
      <c r="V25" s="17"/>
      <c r="W25" s="17">
        <f t="shared" si="5"/>
        <v>0</v>
      </c>
      <c r="X25" s="17"/>
      <c r="Y25" s="81">
        <f t="shared" si="6"/>
        <v>0</v>
      </c>
      <c r="Z25" s="115">
        <v>0</v>
      </c>
      <c r="AA25" s="26"/>
      <c r="AB25" s="27">
        <f t="shared" si="7"/>
        <v>0</v>
      </c>
      <c r="AC25" s="17"/>
      <c r="AD25" s="17"/>
      <c r="AE25" s="17"/>
      <c r="AF25" s="17">
        <f t="shared" si="8"/>
        <v>0</v>
      </c>
      <c r="AG25" s="17"/>
      <c r="AH25" s="17">
        <f t="shared" si="9"/>
        <v>0</v>
      </c>
      <c r="AI25" s="17"/>
      <c r="AJ25" s="81">
        <f t="shared" si="10"/>
        <v>0</v>
      </c>
      <c r="AK25" s="50">
        <f t="shared" si="11"/>
        <v>0</v>
      </c>
      <c r="AL25" s="47">
        <f t="shared" si="12"/>
        <v>0</v>
      </c>
      <c r="AM25" s="47">
        <f t="shared" si="13"/>
        <v>0</v>
      </c>
      <c r="AN25" s="119">
        <f t="shared" si="14"/>
        <v>0</v>
      </c>
      <c r="AO25" s="119"/>
      <c r="AP25" s="119">
        <f t="shared" si="15"/>
        <v>0</v>
      </c>
      <c r="AQ25" s="119">
        <f t="shared" si="16"/>
        <v>0</v>
      </c>
      <c r="AR25" s="119">
        <f t="shared" si="17"/>
        <v>0</v>
      </c>
      <c r="AS25" s="119">
        <f t="shared" si="18"/>
        <v>0</v>
      </c>
      <c r="AT25" s="119">
        <f t="shared" si="19"/>
        <v>0</v>
      </c>
      <c r="AU25" s="215">
        <f t="shared" si="20"/>
        <v>0</v>
      </c>
    </row>
    <row r="26" spans="1:47" ht="12.75" customHeight="1" x14ac:dyDescent="0.2">
      <c r="A26" s="21" t="s">
        <v>19</v>
      </c>
      <c r="B26" s="66" t="s">
        <v>40</v>
      </c>
      <c r="C26" s="115">
        <v>0</v>
      </c>
      <c r="D26" s="27"/>
      <c r="E26" s="27">
        <f t="shared" si="0"/>
        <v>0</v>
      </c>
      <c r="F26" s="17"/>
      <c r="G26" s="17"/>
      <c r="H26" s="17"/>
      <c r="I26" s="17">
        <f t="shared" si="1"/>
        <v>0</v>
      </c>
      <c r="J26" s="17"/>
      <c r="K26" s="81">
        <f t="shared" si="2"/>
        <v>0</v>
      </c>
      <c r="L26" s="115">
        <v>0</v>
      </c>
      <c r="M26" s="27"/>
      <c r="N26" s="27">
        <f t="shared" si="3"/>
        <v>0</v>
      </c>
      <c r="O26" s="17"/>
      <c r="P26" s="81"/>
      <c r="Q26" s="115">
        <v>0</v>
      </c>
      <c r="R26" s="27"/>
      <c r="S26" s="27">
        <f t="shared" si="4"/>
        <v>0</v>
      </c>
      <c r="T26" s="17"/>
      <c r="U26" s="17"/>
      <c r="V26" s="17"/>
      <c r="W26" s="17">
        <f t="shared" si="5"/>
        <v>0</v>
      </c>
      <c r="X26" s="17"/>
      <c r="Y26" s="81">
        <f t="shared" si="6"/>
        <v>0</v>
      </c>
      <c r="Z26" s="115">
        <v>0</v>
      </c>
      <c r="AA26" s="26"/>
      <c r="AB26" s="27">
        <f t="shared" si="7"/>
        <v>0</v>
      </c>
      <c r="AC26" s="17"/>
      <c r="AD26" s="17"/>
      <c r="AE26" s="17"/>
      <c r="AF26" s="17">
        <f t="shared" si="8"/>
        <v>0</v>
      </c>
      <c r="AG26" s="17"/>
      <c r="AH26" s="17">
        <f t="shared" si="9"/>
        <v>0</v>
      </c>
      <c r="AI26" s="17"/>
      <c r="AJ26" s="81">
        <f t="shared" si="10"/>
        <v>0</v>
      </c>
      <c r="AK26" s="50">
        <f t="shared" si="11"/>
        <v>0</v>
      </c>
      <c r="AL26" s="47">
        <f t="shared" si="12"/>
        <v>0</v>
      </c>
      <c r="AM26" s="47">
        <f t="shared" si="13"/>
        <v>0</v>
      </c>
      <c r="AN26" s="119">
        <f t="shared" si="14"/>
        <v>0</v>
      </c>
      <c r="AO26" s="119"/>
      <c r="AP26" s="119">
        <f t="shared" si="15"/>
        <v>0</v>
      </c>
      <c r="AQ26" s="119">
        <f t="shared" si="16"/>
        <v>0</v>
      </c>
      <c r="AR26" s="119">
        <f t="shared" si="17"/>
        <v>0</v>
      </c>
      <c r="AS26" s="119">
        <f t="shared" si="18"/>
        <v>0</v>
      </c>
      <c r="AT26" s="119">
        <f t="shared" si="19"/>
        <v>0</v>
      </c>
      <c r="AU26" s="215">
        <f t="shared" si="20"/>
        <v>0</v>
      </c>
    </row>
    <row r="27" spans="1:47" ht="12.75" customHeight="1" x14ac:dyDescent="0.2">
      <c r="A27" s="21" t="s">
        <v>20</v>
      </c>
      <c r="B27" s="66" t="s">
        <v>49</v>
      </c>
      <c r="C27" s="115">
        <v>0</v>
      </c>
      <c r="D27" s="27"/>
      <c r="E27" s="27">
        <f t="shared" si="0"/>
        <v>0</v>
      </c>
      <c r="F27" s="17"/>
      <c r="G27" s="17"/>
      <c r="H27" s="17"/>
      <c r="I27" s="17">
        <f t="shared" si="1"/>
        <v>0</v>
      </c>
      <c r="J27" s="17"/>
      <c r="K27" s="81">
        <f t="shared" si="2"/>
        <v>0</v>
      </c>
      <c r="L27" s="115">
        <v>0</v>
      </c>
      <c r="M27" s="27"/>
      <c r="N27" s="27">
        <f t="shared" si="3"/>
        <v>0</v>
      </c>
      <c r="O27" s="17"/>
      <c r="P27" s="81"/>
      <c r="Q27" s="115">
        <v>0</v>
      </c>
      <c r="R27" s="27"/>
      <c r="S27" s="27">
        <f t="shared" si="4"/>
        <v>0</v>
      </c>
      <c r="T27" s="17"/>
      <c r="U27" s="17"/>
      <c r="V27" s="17"/>
      <c r="W27" s="17">
        <f t="shared" si="5"/>
        <v>0</v>
      </c>
      <c r="X27" s="17"/>
      <c r="Y27" s="81">
        <f t="shared" si="6"/>
        <v>0</v>
      </c>
      <c r="Z27" s="115">
        <v>0</v>
      </c>
      <c r="AA27" s="27"/>
      <c r="AB27" s="27">
        <f t="shared" si="7"/>
        <v>0</v>
      </c>
      <c r="AC27" s="17"/>
      <c r="AD27" s="17"/>
      <c r="AE27" s="17"/>
      <c r="AF27" s="17">
        <f t="shared" si="8"/>
        <v>0</v>
      </c>
      <c r="AG27" s="17"/>
      <c r="AH27" s="17">
        <f t="shared" si="9"/>
        <v>0</v>
      </c>
      <c r="AI27" s="17"/>
      <c r="AJ27" s="81">
        <f t="shared" si="10"/>
        <v>0</v>
      </c>
      <c r="AK27" s="50">
        <f t="shared" si="11"/>
        <v>0</v>
      </c>
      <c r="AL27" s="47">
        <f t="shared" si="12"/>
        <v>0</v>
      </c>
      <c r="AM27" s="47">
        <f t="shared" si="13"/>
        <v>0</v>
      </c>
      <c r="AN27" s="119">
        <f t="shared" si="14"/>
        <v>0</v>
      </c>
      <c r="AO27" s="119"/>
      <c r="AP27" s="119">
        <f t="shared" si="15"/>
        <v>0</v>
      </c>
      <c r="AQ27" s="119">
        <f t="shared" si="16"/>
        <v>0</v>
      </c>
      <c r="AR27" s="119">
        <f t="shared" si="17"/>
        <v>0</v>
      </c>
      <c r="AS27" s="119">
        <f t="shared" si="18"/>
        <v>0</v>
      </c>
      <c r="AT27" s="119">
        <f t="shared" si="19"/>
        <v>0</v>
      </c>
      <c r="AU27" s="215">
        <f t="shared" si="20"/>
        <v>0</v>
      </c>
    </row>
    <row r="28" spans="1:47" ht="12.75" customHeight="1" x14ac:dyDescent="0.2">
      <c r="A28" s="21" t="s">
        <v>21</v>
      </c>
      <c r="B28" s="66" t="s">
        <v>50</v>
      </c>
      <c r="C28" s="115">
        <v>0</v>
      </c>
      <c r="D28" s="27"/>
      <c r="E28" s="27">
        <f t="shared" si="0"/>
        <v>0</v>
      </c>
      <c r="F28" s="17"/>
      <c r="G28" s="17"/>
      <c r="H28" s="17"/>
      <c r="I28" s="17">
        <f t="shared" si="1"/>
        <v>0</v>
      </c>
      <c r="J28" s="17"/>
      <c r="K28" s="81">
        <f t="shared" si="2"/>
        <v>0</v>
      </c>
      <c r="L28" s="115">
        <v>0</v>
      </c>
      <c r="M28" s="27"/>
      <c r="N28" s="27">
        <f t="shared" si="3"/>
        <v>0</v>
      </c>
      <c r="O28" s="17"/>
      <c r="P28" s="81"/>
      <c r="Q28" s="115">
        <v>0</v>
      </c>
      <c r="R28" s="27"/>
      <c r="S28" s="27">
        <f t="shared" si="4"/>
        <v>0</v>
      </c>
      <c r="T28" s="17"/>
      <c r="U28" s="17"/>
      <c r="V28" s="17"/>
      <c r="W28" s="17">
        <f t="shared" si="5"/>
        <v>0</v>
      </c>
      <c r="X28" s="17"/>
      <c r="Y28" s="81">
        <f t="shared" si="6"/>
        <v>0</v>
      </c>
      <c r="Z28" s="115">
        <v>0</v>
      </c>
      <c r="AA28" s="27"/>
      <c r="AB28" s="27">
        <f t="shared" si="7"/>
        <v>0</v>
      </c>
      <c r="AC28" s="17"/>
      <c r="AD28" s="17"/>
      <c r="AE28" s="17"/>
      <c r="AF28" s="17">
        <f t="shared" si="8"/>
        <v>0</v>
      </c>
      <c r="AG28" s="17"/>
      <c r="AH28" s="17">
        <f t="shared" si="9"/>
        <v>0</v>
      </c>
      <c r="AI28" s="17"/>
      <c r="AJ28" s="81">
        <f t="shared" si="10"/>
        <v>0</v>
      </c>
      <c r="AK28" s="50">
        <f t="shared" si="11"/>
        <v>0</v>
      </c>
      <c r="AL28" s="47">
        <f t="shared" si="12"/>
        <v>0</v>
      </c>
      <c r="AM28" s="47">
        <f t="shared" si="13"/>
        <v>0</v>
      </c>
      <c r="AN28" s="119">
        <f t="shared" si="14"/>
        <v>0</v>
      </c>
      <c r="AO28" s="119"/>
      <c r="AP28" s="119">
        <f t="shared" si="15"/>
        <v>0</v>
      </c>
      <c r="AQ28" s="119">
        <f t="shared" si="16"/>
        <v>0</v>
      </c>
      <c r="AR28" s="119">
        <f t="shared" si="17"/>
        <v>0</v>
      </c>
      <c r="AS28" s="119">
        <f t="shared" si="18"/>
        <v>0</v>
      </c>
      <c r="AT28" s="119">
        <f t="shared" si="19"/>
        <v>0</v>
      </c>
      <c r="AU28" s="215">
        <f t="shared" si="20"/>
        <v>0</v>
      </c>
    </row>
    <row r="29" spans="1:47" s="30" customFormat="1" ht="12.75" customHeight="1" x14ac:dyDescent="0.2">
      <c r="A29" s="20" t="s">
        <v>22</v>
      </c>
      <c r="B29" s="206" t="s">
        <v>51</v>
      </c>
      <c r="C29" s="90">
        <f>C24+C25+C26+C27+C28</f>
        <v>0</v>
      </c>
      <c r="D29" s="26"/>
      <c r="E29" s="27">
        <f t="shared" si="0"/>
        <v>0</v>
      </c>
      <c r="F29" s="17"/>
      <c r="G29" s="17"/>
      <c r="H29" s="17"/>
      <c r="I29" s="17">
        <f t="shared" si="1"/>
        <v>0</v>
      </c>
      <c r="J29" s="17"/>
      <c r="K29" s="81">
        <f t="shared" si="2"/>
        <v>0</v>
      </c>
      <c r="L29" s="90">
        <f>L24+L25+L26+L27+L28</f>
        <v>0</v>
      </c>
      <c r="M29" s="26"/>
      <c r="N29" s="27">
        <f t="shared" si="3"/>
        <v>0</v>
      </c>
      <c r="O29" s="17"/>
      <c r="P29" s="81"/>
      <c r="Q29" s="90">
        <f>Q24+Q25+Q26+Q27+Q28</f>
        <v>0</v>
      </c>
      <c r="R29" s="26"/>
      <c r="S29" s="27">
        <f t="shared" si="4"/>
        <v>0</v>
      </c>
      <c r="T29" s="17"/>
      <c r="U29" s="17"/>
      <c r="V29" s="17"/>
      <c r="W29" s="17">
        <f t="shared" si="5"/>
        <v>0</v>
      </c>
      <c r="X29" s="17"/>
      <c r="Y29" s="81">
        <f t="shared" si="6"/>
        <v>0</v>
      </c>
      <c r="Z29" s="90">
        <f>Z24+Z25+Z26+Z27+Z28</f>
        <v>0</v>
      </c>
      <c r="AA29" s="26"/>
      <c r="AB29" s="27">
        <f t="shared" si="7"/>
        <v>0</v>
      </c>
      <c r="AC29" s="17"/>
      <c r="AD29" s="17"/>
      <c r="AE29" s="17"/>
      <c r="AF29" s="17">
        <f t="shared" si="8"/>
        <v>0</v>
      </c>
      <c r="AG29" s="17"/>
      <c r="AH29" s="17">
        <f t="shared" si="9"/>
        <v>0</v>
      </c>
      <c r="AI29" s="17"/>
      <c r="AJ29" s="81">
        <f t="shared" si="10"/>
        <v>0</v>
      </c>
      <c r="AK29" s="118">
        <f t="shared" si="11"/>
        <v>0</v>
      </c>
      <c r="AL29" s="47">
        <f t="shared" si="12"/>
        <v>0</v>
      </c>
      <c r="AM29" s="47">
        <f t="shared" si="13"/>
        <v>0</v>
      </c>
      <c r="AN29" s="119">
        <f t="shared" si="14"/>
        <v>0</v>
      </c>
      <c r="AO29" s="164"/>
      <c r="AP29" s="119">
        <f t="shared" si="15"/>
        <v>0</v>
      </c>
      <c r="AQ29" s="119">
        <f t="shared" si="16"/>
        <v>0</v>
      </c>
      <c r="AR29" s="119">
        <f t="shared" si="17"/>
        <v>0</v>
      </c>
      <c r="AS29" s="119">
        <f t="shared" si="18"/>
        <v>0</v>
      </c>
      <c r="AT29" s="119">
        <f t="shared" si="19"/>
        <v>0</v>
      </c>
      <c r="AU29" s="215">
        <f t="shared" si="20"/>
        <v>0</v>
      </c>
    </row>
    <row r="30" spans="1:47" ht="12.75" customHeight="1" x14ac:dyDescent="0.2">
      <c r="A30" s="21" t="s">
        <v>23</v>
      </c>
      <c r="B30" s="66" t="s">
        <v>80</v>
      </c>
      <c r="C30" s="115">
        <v>0</v>
      </c>
      <c r="D30" s="27"/>
      <c r="E30" s="27">
        <f t="shared" si="0"/>
        <v>0</v>
      </c>
      <c r="F30" s="17"/>
      <c r="G30" s="17"/>
      <c r="H30" s="17"/>
      <c r="I30" s="17">
        <f t="shared" si="1"/>
        <v>0</v>
      </c>
      <c r="J30" s="17"/>
      <c r="K30" s="81">
        <f t="shared" si="2"/>
        <v>0</v>
      </c>
      <c r="L30" s="115">
        <v>0</v>
      </c>
      <c r="M30" s="27"/>
      <c r="N30" s="27">
        <f t="shared" si="3"/>
        <v>0</v>
      </c>
      <c r="O30" s="17"/>
      <c r="P30" s="81"/>
      <c r="Q30" s="115">
        <v>0</v>
      </c>
      <c r="R30" s="27"/>
      <c r="S30" s="27">
        <f t="shared" si="4"/>
        <v>0</v>
      </c>
      <c r="T30" s="17"/>
      <c r="U30" s="17"/>
      <c r="V30" s="17"/>
      <c r="W30" s="17">
        <f t="shared" si="5"/>
        <v>0</v>
      </c>
      <c r="X30" s="17"/>
      <c r="Y30" s="81">
        <f t="shared" si="6"/>
        <v>0</v>
      </c>
      <c r="Z30" s="115">
        <v>0</v>
      </c>
      <c r="AA30" s="27"/>
      <c r="AB30" s="27">
        <f t="shared" si="7"/>
        <v>0</v>
      </c>
      <c r="AC30" s="17"/>
      <c r="AD30" s="17"/>
      <c r="AE30" s="17"/>
      <c r="AF30" s="17">
        <f t="shared" si="8"/>
        <v>0</v>
      </c>
      <c r="AG30" s="17"/>
      <c r="AH30" s="17">
        <f t="shared" si="9"/>
        <v>0</v>
      </c>
      <c r="AI30" s="17"/>
      <c r="AJ30" s="81">
        <f t="shared" si="10"/>
        <v>0</v>
      </c>
      <c r="AK30" s="50">
        <f t="shared" si="11"/>
        <v>0</v>
      </c>
      <c r="AL30" s="47">
        <f t="shared" si="12"/>
        <v>0</v>
      </c>
      <c r="AM30" s="47">
        <f t="shared" si="13"/>
        <v>0</v>
      </c>
      <c r="AN30" s="119">
        <f t="shared" si="14"/>
        <v>0</v>
      </c>
      <c r="AO30" s="119"/>
      <c r="AP30" s="119">
        <f t="shared" si="15"/>
        <v>0</v>
      </c>
      <c r="AQ30" s="119">
        <f t="shared" si="16"/>
        <v>0</v>
      </c>
      <c r="AR30" s="119">
        <f t="shared" si="17"/>
        <v>0</v>
      </c>
      <c r="AS30" s="119">
        <f t="shared" si="18"/>
        <v>0</v>
      </c>
      <c r="AT30" s="119">
        <f t="shared" si="19"/>
        <v>0</v>
      </c>
      <c r="AU30" s="215">
        <f t="shared" si="20"/>
        <v>0</v>
      </c>
    </row>
    <row r="31" spans="1:47" ht="12.75" customHeight="1" x14ac:dyDescent="0.2">
      <c r="A31" s="21" t="s">
        <v>24</v>
      </c>
      <c r="B31" s="66" t="s">
        <v>52</v>
      </c>
      <c r="C31" s="115">
        <v>0</v>
      </c>
      <c r="D31" s="27"/>
      <c r="E31" s="27">
        <f t="shared" si="0"/>
        <v>0</v>
      </c>
      <c r="F31" s="17"/>
      <c r="G31" s="17"/>
      <c r="H31" s="17"/>
      <c r="I31" s="17">
        <f t="shared" si="1"/>
        <v>0</v>
      </c>
      <c r="J31" s="17"/>
      <c r="K31" s="81">
        <f t="shared" si="2"/>
        <v>0</v>
      </c>
      <c r="L31" s="115">
        <v>0</v>
      </c>
      <c r="M31" s="27"/>
      <c r="N31" s="27">
        <f t="shared" si="3"/>
        <v>0</v>
      </c>
      <c r="O31" s="17"/>
      <c r="P31" s="81"/>
      <c r="Q31" s="115">
        <v>0</v>
      </c>
      <c r="R31" s="27"/>
      <c r="S31" s="27">
        <f t="shared" si="4"/>
        <v>0</v>
      </c>
      <c r="T31" s="17"/>
      <c r="U31" s="17"/>
      <c r="V31" s="17"/>
      <c r="W31" s="17">
        <f t="shared" si="5"/>
        <v>0</v>
      </c>
      <c r="X31" s="17"/>
      <c r="Y31" s="81">
        <f t="shared" si="6"/>
        <v>0</v>
      </c>
      <c r="Z31" s="115">
        <v>0</v>
      </c>
      <c r="AA31" s="27"/>
      <c r="AB31" s="27">
        <f t="shared" si="7"/>
        <v>0</v>
      </c>
      <c r="AC31" s="17"/>
      <c r="AD31" s="17"/>
      <c r="AE31" s="17"/>
      <c r="AF31" s="17">
        <f t="shared" si="8"/>
        <v>0</v>
      </c>
      <c r="AG31" s="17"/>
      <c r="AH31" s="17">
        <f t="shared" si="9"/>
        <v>0</v>
      </c>
      <c r="AI31" s="17"/>
      <c r="AJ31" s="81">
        <f t="shared" si="10"/>
        <v>0</v>
      </c>
      <c r="AK31" s="50">
        <f t="shared" si="11"/>
        <v>0</v>
      </c>
      <c r="AL31" s="47">
        <f t="shared" si="12"/>
        <v>0</v>
      </c>
      <c r="AM31" s="47">
        <f t="shared" si="13"/>
        <v>0</v>
      </c>
      <c r="AN31" s="119">
        <f t="shared" si="14"/>
        <v>0</v>
      </c>
      <c r="AO31" s="119"/>
      <c r="AP31" s="119">
        <f t="shared" si="15"/>
        <v>0</v>
      </c>
      <c r="AQ31" s="119">
        <f t="shared" si="16"/>
        <v>0</v>
      </c>
      <c r="AR31" s="119">
        <f t="shared" si="17"/>
        <v>0</v>
      </c>
      <c r="AS31" s="119">
        <f t="shared" si="18"/>
        <v>0</v>
      </c>
      <c r="AT31" s="119">
        <f t="shared" si="19"/>
        <v>0</v>
      </c>
      <c r="AU31" s="215">
        <f t="shared" si="20"/>
        <v>0</v>
      </c>
    </row>
    <row r="32" spans="1:47" ht="12.75" customHeight="1" x14ac:dyDescent="0.2">
      <c r="A32" s="21" t="s">
        <v>25</v>
      </c>
      <c r="B32" s="66" t="s">
        <v>53</v>
      </c>
      <c r="C32" s="115">
        <v>0</v>
      </c>
      <c r="D32" s="27"/>
      <c r="E32" s="27">
        <f t="shared" si="0"/>
        <v>0</v>
      </c>
      <c r="F32" s="17"/>
      <c r="G32" s="17"/>
      <c r="H32" s="17"/>
      <c r="I32" s="17">
        <f t="shared" si="1"/>
        <v>0</v>
      </c>
      <c r="J32" s="17"/>
      <c r="K32" s="81">
        <f t="shared" si="2"/>
        <v>0</v>
      </c>
      <c r="L32" s="115">
        <v>0</v>
      </c>
      <c r="M32" s="27"/>
      <c r="N32" s="27">
        <f t="shared" si="3"/>
        <v>0</v>
      </c>
      <c r="O32" s="17"/>
      <c r="P32" s="81"/>
      <c r="Q32" s="115">
        <v>0</v>
      </c>
      <c r="R32" s="27"/>
      <c r="S32" s="27">
        <f t="shared" si="4"/>
        <v>0</v>
      </c>
      <c r="T32" s="17"/>
      <c r="U32" s="17"/>
      <c r="V32" s="17"/>
      <c r="W32" s="17">
        <f t="shared" si="5"/>
        <v>0</v>
      </c>
      <c r="X32" s="17"/>
      <c r="Y32" s="81">
        <f t="shared" si="6"/>
        <v>0</v>
      </c>
      <c r="Z32" s="115">
        <v>0</v>
      </c>
      <c r="AA32" s="26"/>
      <c r="AB32" s="27">
        <f t="shared" si="7"/>
        <v>0</v>
      </c>
      <c r="AC32" s="17"/>
      <c r="AD32" s="17"/>
      <c r="AE32" s="17"/>
      <c r="AF32" s="17">
        <f t="shared" si="8"/>
        <v>0</v>
      </c>
      <c r="AG32" s="17"/>
      <c r="AH32" s="17">
        <f t="shared" si="9"/>
        <v>0</v>
      </c>
      <c r="AI32" s="17"/>
      <c r="AJ32" s="81">
        <f t="shared" si="10"/>
        <v>0</v>
      </c>
      <c r="AK32" s="50">
        <f t="shared" si="11"/>
        <v>0</v>
      </c>
      <c r="AL32" s="47">
        <f t="shared" si="12"/>
        <v>0</v>
      </c>
      <c r="AM32" s="47">
        <f t="shared" si="13"/>
        <v>0</v>
      </c>
      <c r="AN32" s="119">
        <f t="shared" si="14"/>
        <v>0</v>
      </c>
      <c r="AO32" s="119"/>
      <c r="AP32" s="119">
        <f t="shared" si="15"/>
        <v>0</v>
      </c>
      <c r="AQ32" s="119">
        <f t="shared" si="16"/>
        <v>0</v>
      </c>
      <c r="AR32" s="119">
        <f t="shared" si="17"/>
        <v>0</v>
      </c>
      <c r="AS32" s="119">
        <f t="shared" si="18"/>
        <v>0</v>
      </c>
      <c r="AT32" s="119">
        <f t="shared" si="19"/>
        <v>0</v>
      </c>
      <c r="AU32" s="215">
        <f t="shared" si="20"/>
        <v>0</v>
      </c>
    </row>
    <row r="33" spans="1:47" s="30" customFormat="1" ht="12.75" customHeight="1" x14ac:dyDescent="0.2">
      <c r="A33" s="20" t="s">
        <v>26</v>
      </c>
      <c r="B33" s="206" t="s">
        <v>54</v>
      </c>
      <c r="C33" s="90">
        <f>C30+C31+C32</f>
        <v>0</v>
      </c>
      <c r="D33" s="26"/>
      <c r="E33" s="27">
        <f t="shared" si="0"/>
        <v>0</v>
      </c>
      <c r="F33" s="17"/>
      <c r="G33" s="17"/>
      <c r="H33" s="17"/>
      <c r="I33" s="17">
        <f t="shared" si="1"/>
        <v>0</v>
      </c>
      <c r="J33" s="17"/>
      <c r="K33" s="81">
        <f t="shared" si="2"/>
        <v>0</v>
      </c>
      <c r="L33" s="90">
        <f>L30+L31+L32</f>
        <v>0</v>
      </c>
      <c r="M33" s="26"/>
      <c r="N33" s="27">
        <f t="shared" si="3"/>
        <v>0</v>
      </c>
      <c r="O33" s="17"/>
      <c r="P33" s="81"/>
      <c r="Q33" s="90">
        <f>Q30+Q31+Q32</f>
        <v>0</v>
      </c>
      <c r="R33" s="26"/>
      <c r="S33" s="27">
        <f t="shared" si="4"/>
        <v>0</v>
      </c>
      <c r="T33" s="17"/>
      <c r="U33" s="17"/>
      <c r="V33" s="17"/>
      <c r="W33" s="17">
        <f t="shared" si="5"/>
        <v>0</v>
      </c>
      <c r="X33" s="17"/>
      <c r="Y33" s="81">
        <f t="shared" si="6"/>
        <v>0</v>
      </c>
      <c r="Z33" s="90">
        <f>Z30+Z31+Z32</f>
        <v>0</v>
      </c>
      <c r="AA33" s="26"/>
      <c r="AB33" s="27">
        <f t="shared" si="7"/>
        <v>0</v>
      </c>
      <c r="AC33" s="17"/>
      <c r="AD33" s="17"/>
      <c r="AE33" s="17"/>
      <c r="AF33" s="17">
        <f t="shared" si="8"/>
        <v>0</v>
      </c>
      <c r="AG33" s="17"/>
      <c r="AH33" s="17">
        <f t="shared" si="9"/>
        <v>0</v>
      </c>
      <c r="AI33" s="17"/>
      <c r="AJ33" s="81">
        <f t="shared" si="10"/>
        <v>0</v>
      </c>
      <c r="AK33" s="118">
        <f t="shared" si="11"/>
        <v>0</v>
      </c>
      <c r="AL33" s="47">
        <f t="shared" si="12"/>
        <v>0</v>
      </c>
      <c r="AM33" s="47">
        <f t="shared" si="13"/>
        <v>0</v>
      </c>
      <c r="AN33" s="119">
        <f t="shared" si="14"/>
        <v>0</v>
      </c>
      <c r="AO33" s="164"/>
      <c r="AP33" s="119">
        <f t="shared" si="15"/>
        <v>0</v>
      </c>
      <c r="AQ33" s="119">
        <f t="shared" si="16"/>
        <v>0</v>
      </c>
      <c r="AR33" s="119">
        <f t="shared" si="17"/>
        <v>0</v>
      </c>
      <c r="AS33" s="119">
        <f t="shared" si="18"/>
        <v>0</v>
      </c>
      <c r="AT33" s="119">
        <f t="shared" si="19"/>
        <v>0</v>
      </c>
      <c r="AU33" s="215">
        <f t="shared" si="20"/>
        <v>0</v>
      </c>
    </row>
    <row r="34" spans="1:47" s="30" customFormat="1" ht="12.75" customHeight="1" x14ac:dyDescent="0.2">
      <c r="A34" s="20" t="s">
        <v>27</v>
      </c>
      <c r="B34" s="206" t="s">
        <v>74</v>
      </c>
      <c r="C34" s="90">
        <f>C35+C36+C37</f>
        <v>117724968</v>
      </c>
      <c r="D34" s="26"/>
      <c r="E34" s="27">
        <f t="shared" si="0"/>
        <v>117724968</v>
      </c>
      <c r="F34" s="17">
        <v>-37</v>
      </c>
      <c r="G34" s="17">
        <v>117689</v>
      </c>
      <c r="H34" s="17">
        <v>6</v>
      </c>
      <c r="I34" s="17">
        <f t="shared" si="1"/>
        <v>117695</v>
      </c>
      <c r="J34" s="17">
        <v>2939</v>
      </c>
      <c r="K34" s="81">
        <f t="shared" si="2"/>
        <v>120634</v>
      </c>
      <c r="L34" s="90">
        <f>L35+L36+L37</f>
        <v>6137520</v>
      </c>
      <c r="M34" s="26"/>
      <c r="N34" s="27">
        <f t="shared" si="3"/>
        <v>6137520</v>
      </c>
      <c r="O34" s="17">
        <v>-3254</v>
      </c>
      <c r="P34" s="81">
        <v>2884</v>
      </c>
      <c r="Q34" s="90">
        <f>Q35+Q36+Q37</f>
        <v>15868954</v>
      </c>
      <c r="R34" s="26">
        <f>SUM(R35:R37)</f>
        <v>516000</v>
      </c>
      <c r="S34" s="27">
        <f t="shared" si="4"/>
        <v>16384954</v>
      </c>
      <c r="T34" s="17">
        <v>-603</v>
      </c>
      <c r="U34" s="17">
        <v>15782</v>
      </c>
      <c r="V34" s="17">
        <v>-1819</v>
      </c>
      <c r="W34" s="17">
        <f t="shared" si="5"/>
        <v>13963</v>
      </c>
      <c r="X34" s="17">
        <v>-954</v>
      </c>
      <c r="Y34" s="81">
        <f t="shared" si="6"/>
        <v>13009</v>
      </c>
      <c r="Z34" s="90">
        <f>Z35+Z36+Z37</f>
        <v>39488853</v>
      </c>
      <c r="AA34" s="26">
        <f>SUM(AA35:AA37)</f>
        <v>48000</v>
      </c>
      <c r="AB34" s="27">
        <f t="shared" si="7"/>
        <v>39536853</v>
      </c>
      <c r="AC34" s="17">
        <v>658</v>
      </c>
      <c r="AD34" s="17">
        <v>40195</v>
      </c>
      <c r="AE34" s="17">
        <v>2244</v>
      </c>
      <c r="AF34" s="17">
        <f t="shared" si="8"/>
        <v>42439</v>
      </c>
      <c r="AG34" s="17">
        <v>42</v>
      </c>
      <c r="AH34" s="17">
        <f t="shared" si="9"/>
        <v>42481</v>
      </c>
      <c r="AI34" s="17">
        <v>1214</v>
      </c>
      <c r="AJ34" s="81">
        <f t="shared" si="10"/>
        <v>43695</v>
      </c>
      <c r="AK34" s="118">
        <f t="shared" si="11"/>
        <v>179220295</v>
      </c>
      <c r="AL34" s="47">
        <f t="shared" si="12"/>
        <v>564000</v>
      </c>
      <c r="AM34" s="47">
        <f t="shared" si="13"/>
        <v>179784295</v>
      </c>
      <c r="AN34" s="119">
        <f t="shared" si="14"/>
        <v>18</v>
      </c>
      <c r="AO34" s="164">
        <v>179802</v>
      </c>
      <c r="AP34" s="119">
        <f t="shared" si="15"/>
        <v>425</v>
      </c>
      <c r="AQ34" s="119">
        <f t="shared" si="16"/>
        <v>180227</v>
      </c>
      <c r="AR34" s="119">
        <f t="shared" si="17"/>
        <v>48</v>
      </c>
      <c r="AS34" s="119">
        <f t="shared" si="18"/>
        <v>180275</v>
      </c>
      <c r="AT34" s="119">
        <f t="shared" si="19"/>
        <v>-55</v>
      </c>
      <c r="AU34" s="215">
        <f t="shared" si="20"/>
        <v>180220</v>
      </c>
    </row>
    <row r="35" spans="1:47" ht="12.75" customHeight="1" x14ac:dyDescent="0.2">
      <c r="A35" s="21" t="s">
        <v>28</v>
      </c>
      <c r="B35" s="79" t="s">
        <v>75</v>
      </c>
      <c r="C35" s="46">
        <v>117224968</v>
      </c>
      <c r="D35" s="43"/>
      <c r="E35" s="27">
        <f t="shared" si="0"/>
        <v>117224968</v>
      </c>
      <c r="F35" s="17">
        <v>-37</v>
      </c>
      <c r="G35" s="17">
        <v>117189</v>
      </c>
      <c r="H35" s="17">
        <v>6</v>
      </c>
      <c r="I35" s="17">
        <f t="shared" si="1"/>
        <v>117195</v>
      </c>
      <c r="J35" s="17">
        <v>2939</v>
      </c>
      <c r="K35" s="81">
        <f t="shared" si="2"/>
        <v>120134</v>
      </c>
      <c r="L35" s="46">
        <v>6137520</v>
      </c>
      <c r="M35" s="43"/>
      <c r="N35" s="27">
        <f t="shared" si="3"/>
        <v>6137520</v>
      </c>
      <c r="O35" s="17">
        <v>-3254</v>
      </c>
      <c r="P35" s="81">
        <v>2884</v>
      </c>
      <c r="Q35" s="46">
        <v>15868954</v>
      </c>
      <c r="R35" s="43"/>
      <c r="S35" s="27">
        <f t="shared" si="4"/>
        <v>15868954</v>
      </c>
      <c r="T35" s="17">
        <v>-603</v>
      </c>
      <c r="U35" s="17">
        <v>15266</v>
      </c>
      <c r="V35" s="17">
        <v>-1819</v>
      </c>
      <c r="W35" s="17">
        <f t="shared" si="5"/>
        <v>13447</v>
      </c>
      <c r="X35" s="17">
        <v>-954</v>
      </c>
      <c r="Y35" s="81">
        <f t="shared" si="6"/>
        <v>12493</v>
      </c>
      <c r="Z35" s="46">
        <v>39488853</v>
      </c>
      <c r="AA35" s="43">
        <v>47000</v>
      </c>
      <c r="AB35" s="27">
        <f t="shared" si="7"/>
        <v>39535853</v>
      </c>
      <c r="AC35" s="17">
        <v>658</v>
      </c>
      <c r="AD35" s="17">
        <v>40194</v>
      </c>
      <c r="AE35" s="17">
        <v>2244</v>
      </c>
      <c r="AF35" s="17">
        <f t="shared" si="8"/>
        <v>42438</v>
      </c>
      <c r="AG35" s="17">
        <v>42</v>
      </c>
      <c r="AH35" s="17">
        <f t="shared" si="9"/>
        <v>42480</v>
      </c>
      <c r="AI35" s="17">
        <v>1214</v>
      </c>
      <c r="AJ35" s="81">
        <f t="shared" si="10"/>
        <v>43694</v>
      </c>
      <c r="AK35" s="50">
        <f>C35+L35+Q35+Z35</f>
        <v>178720295</v>
      </c>
      <c r="AL35" s="47">
        <f t="shared" si="12"/>
        <v>47000</v>
      </c>
      <c r="AM35" s="47">
        <f t="shared" si="13"/>
        <v>178767295</v>
      </c>
      <c r="AN35" s="119">
        <f t="shared" si="14"/>
        <v>18</v>
      </c>
      <c r="AO35" s="119">
        <v>178785</v>
      </c>
      <c r="AP35" s="119">
        <f t="shared" si="15"/>
        <v>425</v>
      </c>
      <c r="AQ35" s="119">
        <f t="shared" si="16"/>
        <v>179210</v>
      </c>
      <c r="AR35" s="119">
        <f t="shared" si="17"/>
        <v>48</v>
      </c>
      <c r="AS35" s="119">
        <f t="shared" si="18"/>
        <v>179258</v>
      </c>
      <c r="AT35" s="119">
        <f t="shared" si="19"/>
        <v>-55</v>
      </c>
      <c r="AU35" s="215">
        <f t="shared" si="20"/>
        <v>179203</v>
      </c>
    </row>
    <row r="36" spans="1:47" ht="12.75" customHeight="1" x14ac:dyDescent="0.2">
      <c r="A36" s="21" t="s">
        <v>29</v>
      </c>
      <c r="B36" s="79" t="s">
        <v>81</v>
      </c>
      <c r="C36" s="46">
        <v>500000</v>
      </c>
      <c r="D36" s="43"/>
      <c r="E36" s="27">
        <f t="shared" si="0"/>
        <v>500000</v>
      </c>
      <c r="F36" s="17"/>
      <c r="G36" s="17">
        <v>500</v>
      </c>
      <c r="H36" s="17"/>
      <c r="I36" s="17">
        <f t="shared" si="1"/>
        <v>500</v>
      </c>
      <c r="J36" s="17"/>
      <c r="K36" s="81">
        <f t="shared" si="2"/>
        <v>500</v>
      </c>
      <c r="L36" s="46">
        <v>0</v>
      </c>
      <c r="M36" s="43"/>
      <c r="N36" s="27">
        <f t="shared" si="3"/>
        <v>0</v>
      </c>
      <c r="O36" s="17"/>
      <c r="P36" s="81"/>
      <c r="Q36" s="46">
        <v>0</v>
      </c>
      <c r="R36" s="43">
        <v>516000</v>
      </c>
      <c r="S36" s="27">
        <f t="shared" si="4"/>
        <v>516000</v>
      </c>
      <c r="T36" s="17"/>
      <c r="U36" s="17">
        <v>516</v>
      </c>
      <c r="V36" s="17"/>
      <c r="W36" s="17">
        <f t="shared" si="5"/>
        <v>516</v>
      </c>
      <c r="X36" s="17"/>
      <c r="Y36" s="81">
        <f t="shared" si="6"/>
        <v>516</v>
      </c>
      <c r="Z36" s="46">
        <v>0</v>
      </c>
      <c r="AA36" s="43">
        <v>1000</v>
      </c>
      <c r="AB36" s="27">
        <f t="shared" si="7"/>
        <v>1000</v>
      </c>
      <c r="AC36" s="17"/>
      <c r="AD36" s="17">
        <v>1</v>
      </c>
      <c r="AE36" s="17"/>
      <c r="AF36" s="17">
        <f t="shared" si="8"/>
        <v>1</v>
      </c>
      <c r="AG36" s="17"/>
      <c r="AH36" s="17">
        <f t="shared" si="9"/>
        <v>1</v>
      </c>
      <c r="AI36" s="17"/>
      <c r="AJ36" s="81">
        <f t="shared" si="10"/>
        <v>1</v>
      </c>
      <c r="AK36" s="50">
        <f t="shared" si="11"/>
        <v>500000</v>
      </c>
      <c r="AL36" s="47">
        <f t="shared" si="12"/>
        <v>517000</v>
      </c>
      <c r="AM36" s="47">
        <f t="shared" si="13"/>
        <v>1017000</v>
      </c>
      <c r="AN36" s="119">
        <f t="shared" si="14"/>
        <v>0</v>
      </c>
      <c r="AO36" s="119">
        <v>1017</v>
      </c>
      <c r="AP36" s="119">
        <f t="shared" si="15"/>
        <v>0</v>
      </c>
      <c r="AQ36" s="119">
        <f t="shared" si="16"/>
        <v>1017</v>
      </c>
      <c r="AR36" s="119">
        <f t="shared" si="17"/>
        <v>0</v>
      </c>
      <c r="AS36" s="119">
        <f t="shared" si="18"/>
        <v>1017</v>
      </c>
      <c r="AT36" s="119">
        <f t="shared" si="19"/>
        <v>0</v>
      </c>
      <c r="AU36" s="215">
        <f t="shared" si="20"/>
        <v>1017</v>
      </c>
    </row>
    <row r="37" spans="1:47" ht="12.75" customHeight="1" x14ac:dyDescent="0.2">
      <c r="A37" s="21" t="s">
        <v>30</v>
      </c>
      <c r="B37" s="79" t="s">
        <v>76</v>
      </c>
      <c r="C37" s="46">
        <v>0</v>
      </c>
      <c r="D37" s="43"/>
      <c r="E37" s="27">
        <f t="shared" si="0"/>
        <v>0</v>
      </c>
      <c r="F37" s="17"/>
      <c r="G37" s="17"/>
      <c r="H37" s="17"/>
      <c r="I37" s="17">
        <f t="shared" si="1"/>
        <v>0</v>
      </c>
      <c r="J37" s="17"/>
      <c r="K37" s="81">
        <f t="shared" si="2"/>
        <v>0</v>
      </c>
      <c r="L37" s="46">
        <v>0</v>
      </c>
      <c r="M37" s="43"/>
      <c r="N37" s="27">
        <f t="shared" si="3"/>
        <v>0</v>
      </c>
      <c r="O37" s="17"/>
      <c r="P37" s="81"/>
      <c r="Q37" s="46">
        <v>0</v>
      </c>
      <c r="R37" s="43"/>
      <c r="S37" s="27">
        <f t="shared" si="4"/>
        <v>0</v>
      </c>
      <c r="T37" s="17"/>
      <c r="U37" s="17"/>
      <c r="V37" s="17"/>
      <c r="W37" s="17">
        <f t="shared" si="5"/>
        <v>0</v>
      </c>
      <c r="X37" s="17"/>
      <c r="Y37" s="81">
        <f t="shared" si="6"/>
        <v>0</v>
      </c>
      <c r="Z37" s="46">
        <v>0</v>
      </c>
      <c r="AA37" s="43"/>
      <c r="AB37" s="27">
        <f t="shared" si="7"/>
        <v>0</v>
      </c>
      <c r="AC37" s="17"/>
      <c r="AD37" s="17"/>
      <c r="AE37" s="17"/>
      <c r="AF37" s="17">
        <f t="shared" si="8"/>
        <v>0</v>
      </c>
      <c r="AG37" s="17"/>
      <c r="AH37" s="17">
        <f t="shared" si="9"/>
        <v>0</v>
      </c>
      <c r="AI37" s="17"/>
      <c r="AJ37" s="81">
        <f t="shared" si="10"/>
        <v>0</v>
      </c>
      <c r="AK37" s="50">
        <f t="shared" si="11"/>
        <v>0</v>
      </c>
      <c r="AL37" s="47">
        <f t="shared" si="12"/>
        <v>0</v>
      </c>
      <c r="AM37" s="47">
        <f t="shared" si="13"/>
        <v>0</v>
      </c>
      <c r="AN37" s="119">
        <f t="shared" si="14"/>
        <v>0</v>
      </c>
      <c r="AO37" s="119"/>
      <c r="AP37" s="119">
        <f t="shared" si="15"/>
        <v>0</v>
      </c>
      <c r="AQ37" s="119">
        <f t="shared" si="16"/>
        <v>0</v>
      </c>
      <c r="AR37" s="119">
        <f t="shared" si="17"/>
        <v>0</v>
      </c>
      <c r="AS37" s="119">
        <f t="shared" si="18"/>
        <v>0</v>
      </c>
      <c r="AT37" s="119">
        <f t="shared" si="19"/>
        <v>0</v>
      </c>
      <c r="AU37" s="215">
        <f t="shared" si="20"/>
        <v>0</v>
      </c>
    </row>
    <row r="38" spans="1:47" s="30" customFormat="1" ht="12.75" customHeight="1" thickBot="1" x14ac:dyDescent="0.25">
      <c r="A38" s="20" t="s">
        <v>31</v>
      </c>
      <c r="B38" s="206" t="s">
        <v>56</v>
      </c>
      <c r="C38" s="90">
        <f>C34+C33+C29</f>
        <v>117724968</v>
      </c>
      <c r="D38" s="26"/>
      <c r="E38" s="27">
        <f t="shared" si="0"/>
        <v>117724968</v>
      </c>
      <c r="F38" s="17">
        <v>-37</v>
      </c>
      <c r="G38" s="17">
        <v>117689</v>
      </c>
      <c r="H38" s="17">
        <v>6</v>
      </c>
      <c r="I38" s="17">
        <f t="shared" si="1"/>
        <v>117695</v>
      </c>
      <c r="J38" s="17">
        <v>2939</v>
      </c>
      <c r="K38" s="81">
        <f t="shared" si="2"/>
        <v>120634</v>
      </c>
      <c r="L38" s="90">
        <f>L34+L33+L29</f>
        <v>6137520</v>
      </c>
      <c r="M38" s="26"/>
      <c r="N38" s="27">
        <f t="shared" si="3"/>
        <v>6137520</v>
      </c>
      <c r="O38" s="17">
        <v>-3254</v>
      </c>
      <c r="P38" s="81">
        <v>2884</v>
      </c>
      <c r="Q38" s="90">
        <f>Q34+Q33+Q29</f>
        <v>15868954</v>
      </c>
      <c r="R38" s="26">
        <f>SUM(R34)</f>
        <v>516000</v>
      </c>
      <c r="S38" s="27">
        <f t="shared" si="4"/>
        <v>16384954</v>
      </c>
      <c r="T38" s="17">
        <v>-603</v>
      </c>
      <c r="U38" s="17">
        <v>15782</v>
      </c>
      <c r="V38" s="17">
        <v>-1819</v>
      </c>
      <c r="W38" s="17">
        <f t="shared" si="5"/>
        <v>13963</v>
      </c>
      <c r="X38" s="17">
        <v>-954</v>
      </c>
      <c r="Y38" s="81">
        <f t="shared" si="6"/>
        <v>13009</v>
      </c>
      <c r="Z38" s="90">
        <f>Z34+Z33+Z29</f>
        <v>39488853</v>
      </c>
      <c r="AA38" s="26">
        <f>SUM(AA34)</f>
        <v>48000</v>
      </c>
      <c r="AB38" s="27">
        <f t="shared" si="7"/>
        <v>39536853</v>
      </c>
      <c r="AC38" s="17">
        <v>658</v>
      </c>
      <c r="AD38" s="17">
        <v>40195</v>
      </c>
      <c r="AE38" s="17">
        <v>2244</v>
      </c>
      <c r="AF38" s="17">
        <f t="shared" si="8"/>
        <v>42439</v>
      </c>
      <c r="AG38" s="17">
        <v>42</v>
      </c>
      <c r="AH38" s="17">
        <f t="shared" si="9"/>
        <v>42481</v>
      </c>
      <c r="AI38" s="17">
        <v>1214</v>
      </c>
      <c r="AJ38" s="81">
        <f t="shared" si="10"/>
        <v>43695</v>
      </c>
      <c r="AK38" s="340">
        <f t="shared" si="11"/>
        <v>179220295</v>
      </c>
      <c r="AL38" s="341">
        <f t="shared" si="12"/>
        <v>564000</v>
      </c>
      <c r="AM38" s="341">
        <f t="shared" si="13"/>
        <v>179784295</v>
      </c>
      <c r="AN38" s="212">
        <f t="shared" si="14"/>
        <v>18</v>
      </c>
      <c r="AO38" s="342">
        <v>179802</v>
      </c>
      <c r="AP38" s="212">
        <f t="shared" si="15"/>
        <v>425</v>
      </c>
      <c r="AQ38" s="212">
        <f t="shared" si="16"/>
        <v>180227</v>
      </c>
      <c r="AR38" s="212">
        <f t="shared" si="17"/>
        <v>48</v>
      </c>
      <c r="AS38" s="212">
        <f t="shared" si="18"/>
        <v>180275</v>
      </c>
      <c r="AT38" s="119">
        <f t="shared" si="19"/>
        <v>-55</v>
      </c>
      <c r="AU38" s="215">
        <f t="shared" si="20"/>
        <v>180220</v>
      </c>
    </row>
    <row r="39" spans="1:47" ht="12.75" customHeight="1" thickBot="1" x14ac:dyDescent="0.25">
      <c r="A39" s="23" t="s">
        <v>32</v>
      </c>
      <c r="B39" s="207" t="s">
        <v>33</v>
      </c>
      <c r="C39" s="91">
        <v>30</v>
      </c>
      <c r="D39" s="80"/>
      <c r="E39" s="80">
        <f t="shared" si="0"/>
        <v>30</v>
      </c>
      <c r="F39" s="116"/>
      <c r="G39" s="116"/>
      <c r="H39" s="116"/>
      <c r="I39" s="116">
        <v>30</v>
      </c>
      <c r="J39" s="116"/>
      <c r="K39" s="81">
        <f t="shared" si="2"/>
        <v>30</v>
      </c>
      <c r="L39" s="209"/>
      <c r="M39" s="80"/>
      <c r="N39" s="210">
        <f t="shared" si="3"/>
        <v>0</v>
      </c>
      <c r="O39" s="210"/>
      <c r="P39" s="334"/>
      <c r="Q39" s="209"/>
      <c r="R39" s="80"/>
      <c r="S39" s="210">
        <f t="shared" si="4"/>
        <v>0</v>
      </c>
      <c r="T39" s="116"/>
      <c r="U39" s="116"/>
      <c r="V39" s="116"/>
      <c r="W39" s="116">
        <f t="shared" si="5"/>
        <v>0</v>
      </c>
      <c r="X39" s="116"/>
      <c r="Y39" s="81">
        <f t="shared" si="6"/>
        <v>0</v>
      </c>
      <c r="Z39" s="211">
        <v>12</v>
      </c>
      <c r="AA39" s="80"/>
      <c r="AB39" s="210">
        <f t="shared" si="7"/>
        <v>12</v>
      </c>
      <c r="AC39" s="116"/>
      <c r="AD39" s="116"/>
      <c r="AE39" s="116"/>
      <c r="AF39" s="116">
        <f t="shared" si="8"/>
        <v>0</v>
      </c>
      <c r="AG39" s="116"/>
      <c r="AH39" s="116">
        <f t="shared" si="9"/>
        <v>0</v>
      </c>
      <c r="AI39" s="116"/>
      <c r="AJ39" s="81">
        <f t="shared" si="10"/>
        <v>0</v>
      </c>
      <c r="AK39" s="336">
        <f>C39+Z39</f>
        <v>42</v>
      </c>
      <c r="AL39" s="337">
        <f t="shared" si="12"/>
        <v>0</v>
      </c>
      <c r="AM39" s="337">
        <f t="shared" si="13"/>
        <v>42</v>
      </c>
      <c r="AN39" s="338">
        <f t="shared" si="14"/>
        <v>0</v>
      </c>
      <c r="AO39" s="338">
        <v>42</v>
      </c>
      <c r="AP39" s="338">
        <f t="shared" si="15"/>
        <v>0</v>
      </c>
      <c r="AQ39" s="339">
        <v>42</v>
      </c>
      <c r="AR39" s="338">
        <f t="shared" si="17"/>
        <v>0</v>
      </c>
      <c r="AS39" s="338">
        <f t="shared" si="18"/>
        <v>42</v>
      </c>
      <c r="AT39" s="119">
        <f t="shared" si="19"/>
        <v>0</v>
      </c>
      <c r="AU39" s="339"/>
    </row>
  </sheetData>
  <mergeCells count="55">
    <mergeCell ref="AR5:AR6"/>
    <mergeCell ref="AS5:AS6"/>
    <mergeCell ref="Z4:AJ4"/>
    <mergeCell ref="AK4:AU4"/>
    <mergeCell ref="AT5:AT6"/>
    <mergeCell ref="AU5:AU6"/>
    <mergeCell ref="AP5:AP6"/>
    <mergeCell ref="AQ5:AQ6"/>
    <mergeCell ref="AC5:AC6"/>
    <mergeCell ref="AD5:AD6"/>
    <mergeCell ref="AN5:AN6"/>
    <mergeCell ref="AO5:AO6"/>
    <mergeCell ref="AE5:AE6"/>
    <mergeCell ref="AF5:AF6"/>
    <mergeCell ref="AI5:AI6"/>
    <mergeCell ref="AJ5:AJ6"/>
    <mergeCell ref="AG5:AG6"/>
    <mergeCell ref="AH5:AH6"/>
    <mergeCell ref="C3:AM3"/>
    <mergeCell ref="A23:B23"/>
    <mergeCell ref="AK5:AK6"/>
    <mergeCell ref="AL5:AL6"/>
    <mergeCell ref="AM5:AM6"/>
    <mergeCell ref="E5:E6"/>
    <mergeCell ref="Z5:Z6"/>
    <mergeCell ref="A3:B6"/>
    <mergeCell ref="A8:B8"/>
    <mergeCell ref="AA5:AA6"/>
    <mergeCell ref="AB5:AB6"/>
    <mergeCell ref="C5:C6"/>
    <mergeCell ref="D5:D6"/>
    <mergeCell ref="A7:B7"/>
    <mergeCell ref="Q5:Q6"/>
    <mergeCell ref="R5:R6"/>
    <mergeCell ref="Q4:Y4"/>
    <mergeCell ref="X5:X6"/>
    <mergeCell ref="Y5:Y6"/>
    <mergeCell ref="V5:V6"/>
    <mergeCell ref="W5:W6"/>
    <mergeCell ref="T5:T6"/>
    <mergeCell ref="U5:U6"/>
    <mergeCell ref="S5:S6"/>
    <mergeCell ref="C4:K4"/>
    <mergeCell ref="J5:J6"/>
    <mergeCell ref="K5:K6"/>
    <mergeCell ref="L4:P4"/>
    <mergeCell ref="O5:O6"/>
    <mergeCell ref="P5:P6"/>
    <mergeCell ref="L5:L6"/>
    <mergeCell ref="M5:M6"/>
    <mergeCell ref="N5:N6"/>
    <mergeCell ref="F5:F6"/>
    <mergeCell ref="G5:G6"/>
    <mergeCell ref="H5:H6"/>
    <mergeCell ref="I5:I6"/>
  </mergeCells>
  <phoneticPr fontId="2" type="noConversion"/>
  <printOptions horizontalCentered="1"/>
  <pageMargins left="0.31496062992125984" right="0.23622047244094491" top="0.55000000000000004" bottom="0.35433070866141736" header="0.4" footer="0.31496062992125984"/>
  <pageSetup paperSize="9" scale="69" orientation="landscape" r:id="rId1"/>
  <headerFooter>
    <oddHeader>&amp;CAbonyi Pingvines Óvoda és Bölcsőde
&amp;R3. 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11</vt:i4>
      </vt:variant>
    </vt:vector>
  </HeadingPairs>
  <TitlesOfParts>
    <vt:vector size="22" baseType="lpstr">
      <vt:lpstr>Mindösszesen</vt:lpstr>
      <vt:lpstr>Hivatal</vt:lpstr>
      <vt:lpstr>Város </vt:lpstr>
      <vt:lpstr>Kostyán</vt:lpstr>
      <vt:lpstr>Könyvtár</vt:lpstr>
      <vt:lpstr>Sportcs.</vt:lpstr>
      <vt:lpstr>Gyöngysz.</vt:lpstr>
      <vt:lpstr>Szivárvány</vt:lpstr>
      <vt:lpstr>Pingvines</vt:lpstr>
      <vt:lpstr>Munka1</vt:lpstr>
      <vt:lpstr>Munka2</vt:lpstr>
      <vt:lpstr>Hivatal!Nyomtatási_cím</vt:lpstr>
      <vt:lpstr>'Város '!Nyomtatási_cím</vt:lpstr>
      <vt:lpstr>Gyöngysz.!Nyomtatási_terület</vt:lpstr>
      <vt:lpstr>Hivatal!Nyomtatási_terület</vt:lpstr>
      <vt:lpstr>Kostyán!Nyomtatási_terület</vt:lpstr>
      <vt:lpstr>Könyvtár!Nyomtatási_terület</vt:lpstr>
      <vt:lpstr>Mindösszesen!Nyomtatási_terület</vt:lpstr>
      <vt:lpstr>Pingvines!Nyomtatási_terület</vt:lpstr>
      <vt:lpstr>Sportcs.!Nyomtatási_terület</vt:lpstr>
      <vt:lpstr>Szivárvány!Nyomtatási_terület</vt:lpstr>
      <vt:lpstr>'Város 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Handl Gyula</dc:creator>
  <cp:lastModifiedBy>Fruzsi</cp:lastModifiedBy>
  <cp:lastPrinted>2019-02-14T09:45:22Z</cp:lastPrinted>
  <dcterms:created xsi:type="dcterms:W3CDTF">2008-08-06T09:08:24Z</dcterms:created>
  <dcterms:modified xsi:type="dcterms:W3CDTF">2019-02-14T09:45:31Z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-241563743</vt:i4>
  </property>
  <property fmtid="{D5CDD505-2E9C-101B-9397-08002B2CF9AE}" pid="3" name="_EmailSubject">
    <vt:lpwstr>rendelettervezet mellékletei</vt:lpwstr>
  </property>
  <property fmtid="{D5CDD505-2E9C-101B-9397-08002B2CF9AE}" pid="4" name="_AuthorEmail">
    <vt:lpwstr>valkoczi.zsuzsanna@cca.hu</vt:lpwstr>
  </property>
  <property fmtid="{D5CDD505-2E9C-101B-9397-08002B2CF9AE}" pid="5" name="_AuthorEmailDisplayName">
    <vt:lpwstr>Valkoczi Zsuzsanna</vt:lpwstr>
  </property>
  <property fmtid="{D5CDD505-2E9C-101B-9397-08002B2CF9AE}" pid="6" name="_ReviewingToolsShownOnce">
    <vt:lpwstr/>
  </property>
</Properties>
</file>